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raubuenden-my.sharepoint.com/personal/bado_graubuenden_ch/Documents/Desktop/"/>
    </mc:Choice>
  </mc:AlternateContent>
  <xr:revisionPtr revIDLastSave="0" documentId="8_{FACBA586-5B68-45E3-A5E2-4036798C6A34}" xr6:coauthVersionLast="47" xr6:coauthVersionMax="47" xr10:uidLastSave="{00000000-0000-0000-0000-000000000000}"/>
  <bookViews>
    <workbookView xWindow="28680" yWindow="-120" windowWidth="29040" windowHeight="15720" xr2:uid="{1C019322-2191-43BF-8721-24F7072DF07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8" i="1" l="1"/>
  <c r="A87" i="1"/>
  <c r="A86" i="1"/>
  <c r="A85" i="1"/>
  <c r="I83" i="1"/>
  <c r="E83" i="1"/>
  <c r="A83" i="1"/>
  <c r="I82" i="1"/>
  <c r="E82" i="1"/>
  <c r="A82" i="1"/>
  <c r="I81" i="1"/>
  <c r="E81" i="1"/>
  <c r="A81" i="1"/>
  <c r="I80" i="1"/>
  <c r="E80" i="1"/>
  <c r="A80" i="1"/>
  <c r="I79" i="1"/>
  <c r="E79" i="1"/>
  <c r="A79" i="1"/>
  <c r="I78" i="1"/>
  <c r="E78" i="1"/>
  <c r="A78" i="1"/>
  <c r="I77" i="1"/>
  <c r="E77" i="1"/>
  <c r="A77" i="1"/>
  <c r="I76" i="1"/>
  <c r="E76" i="1"/>
  <c r="A76" i="1"/>
  <c r="I75" i="1"/>
  <c r="E75" i="1"/>
  <c r="A75" i="1"/>
  <c r="I74" i="1"/>
  <c r="E74" i="1"/>
  <c r="A74" i="1"/>
  <c r="I73" i="1"/>
  <c r="E73" i="1"/>
  <c r="A73" i="1"/>
  <c r="I72" i="1"/>
  <c r="E72" i="1"/>
  <c r="A72" i="1"/>
  <c r="I71" i="1"/>
  <c r="E71" i="1"/>
  <c r="A71" i="1"/>
  <c r="I70" i="1"/>
  <c r="E70" i="1"/>
  <c r="A70" i="1"/>
  <c r="J69" i="1"/>
  <c r="I69" i="1"/>
  <c r="H69" i="1"/>
  <c r="G69" i="1"/>
  <c r="F69" i="1"/>
  <c r="E69" i="1"/>
  <c r="D69" i="1"/>
  <c r="C69" i="1"/>
  <c r="A67" i="1"/>
  <c r="A66" i="1"/>
  <c r="A63" i="1"/>
  <c r="I61" i="1"/>
  <c r="E61" i="1"/>
  <c r="A61" i="1"/>
  <c r="I60" i="1"/>
  <c r="E60" i="1"/>
  <c r="A60" i="1"/>
  <c r="I59" i="1"/>
  <c r="E59" i="1"/>
  <c r="A59" i="1"/>
  <c r="I58" i="1"/>
  <c r="E58" i="1"/>
  <c r="A58" i="1"/>
  <c r="I57" i="1"/>
  <c r="E57" i="1"/>
  <c r="A57" i="1"/>
  <c r="I56" i="1"/>
  <c r="E56" i="1"/>
  <c r="A56" i="1"/>
  <c r="I55" i="1"/>
  <c r="E55" i="1"/>
  <c r="A55" i="1"/>
  <c r="I54" i="1"/>
  <c r="E54" i="1"/>
  <c r="A54" i="1"/>
  <c r="I53" i="1"/>
  <c r="E53" i="1"/>
  <c r="A53" i="1"/>
  <c r="I52" i="1"/>
  <c r="E52" i="1"/>
  <c r="A52" i="1"/>
  <c r="I51" i="1"/>
  <c r="E51" i="1"/>
  <c r="A51" i="1"/>
  <c r="I50" i="1"/>
  <c r="E50" i="1"/>
  <c r="A50" i="1"/>
  <c r="I49" i="1"/>
  <c r="E49" i="1"/>
  <c r="A49" i="1"/>
  <c r="I48" i="1"/>
  <c r="E48" i="1"/>
  <c r="A48" i="1"/>
  <c r="I47" i="1"/>
  <c r="E47" i="1"/>
  <c r="A47" i="1"/>
  <c r="I46" i="1"/>
  <c r="E46" i="1"/>
  <c r="A46" i="1"/>
  <c r="I45" i="1"/>
  <c r="E45" i="1"/>
  <c r="A45" i="1"/>
  <c r="I44" i="1"/>
  <c r="E44" i="1"/>
  <c r="A44" i="1"/>
  <c r="I43" i="1"/>
  <c r="E43" i="1"/>
  <c r="A43" i="1"/>
  <c r="J42" i="1"/>
  <c r="I42" i="1"/>
  <c r="H42" i="1"/>
  <c r="G42" i="1"/>
  <c r="F42" i="1"/>
  <c r="E42" i="1"/>
  <c r="D42" i="1"/>
  <c r="C42" i="1"/>
  <c r="A40" i="1"/>
  <c r="A39" i="1"/>
  <c r="J36" i="1"/>
  <c r="I36" i="1"/>
  <c r="H36" i="1"/>
  <c r="H35" i="1" s="1"/>
  <c r="F36" i="1"/>
  <c r="E36" i="1"/>
  <c r="D36" i="1"/>
  <c r="D35" i="1" s="1"/>
  <c r="A36" i="1"/>
  <c r="G35" i="1"/>
  <c r="C35" i="1"/>
  <c r="A35" i="1"/>
  <c r="I34" i="1"/>
  <c r="E34" i="1"/>
  <c r="A34" i="1"/>
  <c r="I33" i="1"/>
  <c r="E33" i="1"/>
  <c r="A33" i="1"/>
  <c r="I32" i="1"/>
  <c r="E32" i="1"/>
  <c r="A32" i="1"/>
  <c r="I31" i="1"/>
  <c r="E31" i="1"/>
  <c r="A31" i="1"/>
  <c r="I30" i="1"/>
  <c r="E30" i="1"/>
  <c r="A30" i="1"/>
  <c r="I29" i="1"/>
  <c r="E29" i="1"/>
  <c r="A29" i="1"/>
  <c r="I28" i="1"/>
  <c r="E28" i="1"/>
  <c r="A28" i="1"/>
  <c r="I27" i="1"/>
  <c r="E27" i="1"/>
  <c r="A27" i="1"/>
  <c r="I26" i="1"/>
  <c r="E26" i="1"/>
  <c r="A26" i="1"/>
  <c r="I25" i="1"/>
  <c r="E25" i="1"/>
  <c r="A25" i="1"/>
  <c r="I24" i="1"/>
  <c r="E24" i="1"/>
  <c r="A24" i="1"/>
  <c r="I23" i="1"/>
  <c r="E23" i="1"/>
  <c r="A23" i="1"/>
  <c r="I22" i="1"/>
  <c r="E22" i="1"/>
  <c r="A22" i="1"/>
  <c r="I21" i="1"/>
  <c r="E21" i="1"/>
  <c r="A21" i="1"/>
  <c r="I20" i="1"/>
  <c r="E20" i="1"/>
  <c r="A20" i="1"/>
  <c r="I19" i="1"/>
  <c r="E19" i="1"/>
  <c r="A19" i="1"/>
  <c r="I18" i="1"/>
  <c r="E18" i="1"/>
  <c r="A18" i="1"/>
  <c r="I17" i="1"/>
  <c r="E17" i="1"/>
  <c r="A17" i="1"/>
  <c r="I16" i="1"/>
  <c r="E16" i="1"/>
  <c r="A16" i="1"/>
  <c r="I15" i="1"/>
  <c r="E15" i="1"/>
  <c r="A15" i="1"/>
  <c r="I14" i="1"/>
  <c r="E14" i="1"/>
  <c r="A14" i="1"/>
  <c r="I13" i="1"/>
  <c r="E13" i="1"/>
  <c r="A13" i="1"/>
  <c r="J12" i="1"/>
  <c r="I12" i="1"/>
  <c r="H12" i="1"/>
  <c r="G12" i="1"/>
  <c r="F12" i="1"/>
  <c r="E12" i="1"/>
  <c r="D12" i="1"/>
  <c r="C12" i="1"/>
  <c r="A10" i="1"/>
  <c r="A9" i="1"/>
  <c r="A7" i="1"/>
  <c r="E35" i="1" l="1"/>
  <c r="I35" i="1"/>
</calcChain>
</file>

<file path=xl/sharedStrings.xml><?xml version="1.0" encoding="utf-8"?>
<sst xmlns="http://schemas.openxmlformats.org/spreadsheetml/2006/main" count="4" uniqueCount="3">
  <si>
    <t>-</t>
  </si>
  <si>
    <t>Destinationen/destinaziuns/destinazioni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</si>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</sst>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\ ###\ ###\ ##0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Helv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2" fillId="0" borderId="0"/>
  </cellStyleXfs>
  <cellXfs count="89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5" fillId="2" borderId="0" xfId="4" applyFont="1" applyFill="1" applyAlignment="1">
      <alignment horizontal="left" vertical="top" wrapText="1"/>
    </xf>
    <xf numFmtId="0" fontId="5" fillId="2" borderId="0" xfId="4" applyFont="1" applyFill="1" applyAlignment="1">
      <alignment horizontal="left" vertical="top" wrapText="1"/>
    </xf>
    <xf numFmtId="0" fontId="6" fillId="2" borderId="0" xfId="4" applyFont="1" applyFill="1"/>
    <xf numFmtId="0" fontId="7" fillId="2" borderId="0" xfId="4" applyFont="1" applyFill="1" applyAlignment="1" applyProtection="1">
      <alignment horizontal="left"/>
      <protection locked="0"/>
    </xf>
    <xf numFmtId="0" fontId="4" fillId="2" borderId="0" xfId="4" applyFill="1"/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top"/>
    </xf>
    <xf numFmtId="164" fontId="9" fillId="3" borderId="0" xfId="1" applyNumberFormat="1" applyFont="1" applyFill="1" applyBorder="1" applyAlignment="1" applyProtection="1">
      <alignment horizontal="left" vertical="top"/>
    </xf>
    <xf numFmtId="0" fontId="10" fillId="2" borderId="0" xfId="0" applyFont="1" applyFill="1"/>
    <xf numFmtId="0" fontId="0" fillId="4" borderId="1" xfId="0" applyFill="1" applyBorder="1"/>
    <xf numFmtId="0" fontId="0" fillId="4" borderId="2" xfId="0" applyFill="1" applyBorder="1"/>
    <xf numFmtId="17" fontId="11" fillId="4" borderId="3" xfId="0" applyNumberFormat="1" applyFont="1" applyFill="1" applyBorder="1" applyAlignment="1">
      <alignment horizontal="right" vertical="center" wrapText="1"/>
    </xf>
    <xf numFmtId="17" fontId="0" fillId="4" borderId="4" xfId="0" applyNumberForma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6" xfId="0" applyFill="1" applyBorder="1" applyAlignment="1">
      <alignment horizontal="right" vertical="center" wrapText="1"/>
    </xf>
    <xf numFmtId="0" fontId="8" fillId="5" borderId="7" xfId="0" applyFont="1" applyFill="1" applyBorder="1" applyAlignment="1">
      <alignment horizontal="left" vertical="center"/>
    </xf>
    <xf numFmtId="0" fontId="0" fillId="2" borderId="8" xfId="0" applyFill="1" applyBorder="1"/>
    <xf numFmtId="164" fontId="11" fillId="2" borderId="9" xfId="1" applyNumberFormat="1" applyFont="1" applyFill="1" applyBorder="1" applyAlignment="1"/>
    <xf numFmtId="164" fontId="0" fillId="2" borderId="10" xfId="1" applyNumberFormat="1" applyFont="1" applyFill="1" applyBorder="1" applyAlignment="1"/>
    <xf numFmtId="165" fontId="0" fillId="2" borderId="11" xfId="2" applyNumberFormat="1" applyFont="1" applyFill="1" applyBorder="1" applyAlignment="1"/>
    <xf numFmtId="165" fontId="0" fillId="2" borderId="11" xfId="0" applyNumberFormat="1" applyFill="1" applyBorder="1"/>
    <xf numFmtId="164" fontId="11" fillId="2" borderId="12" xfId="1" applyNumberFormat="1" applyFont="1" applyFill="1" applyBorder="1" applyAlignment="1"/>
    <xf numFmtId="165" fontId="0" fillId="2" borderId="13" xfId="0" applyNumberFormat="1" applyFill="1" applyBorder="1"/>
    <xf numFmtId="164" fontId="11" fillId="2" borderId="9" xfId="1" applyNumberFormat="1" applyFont="1" applyFill="1" applyBorder="1" applyAlignment="1">
      <alignment horizontal="right"/>
    </xf>
    <xf numFmtId="164" fontId="11" fillId="2" borderId="12" xfId="1" applyNumberFormat="1" applyFont="1" applyFill="1" applyBorder="1" applyAlignment="1">
      <alignment horizontal="right"/>
    </xf>
    <xf numFmtId="164" fontId="0" fillId="2" borderId="9" xfId="1" applyNumberFormat="1" applyFont="1" applyFill="1" applyBorder="1" applyAlignment="1"/>
    <xf numFmtId="164" fontId="11" fillId="2" borderId="14" xfId="1" applyNumberFormat="1" applyFont="1" applyFill="1" applyBorder="1" applyAlignment="1"/>
    <xf numFmtId="164" fontId="10" fillId="2" borderId="14" xfId="1" applyNumberFormat="1" applyFont="1" applyFill="1" applyBorder="1" applyAlignment="1"/>
    <xf numFmtId="165" fontId="0" fillId="2" borderId="15" xfId="0" applyNumberFormat="1" applyFill="1" applyBorder="1" applyAlignment="1">
      <alignment horizontal="right"/>
    </xf>
    <xf numFmtId="164" fontId="11" fillId="2" borderId="16" xfId="1" applyNumberFormat="1" applyFont="1" applyFill="1" applyBorder="1" applyAlignment="1"/>
    <xf numFmtId="165" fontId="0" fillId="2" borderId="17" xfId="0" applyNumberFormat="1" applyFill="1" applyBorder="1" applyAlignment="1">
      <alignment horizontal="right"/>
    </xf>
    <xf numFmtId="0" fontId="11" fillId="2" borderId="18" xfId="0" applyFont="1" applyFill="1" applyBorder="1" applyAlignment="1">
      <alignment vertical="center"/>
    </xf>
    <xf numFmtId="0" fontId="0" fillId="2" borderId="19" xfId="0" applyFill="1" applyBorder="1"/>
    <xf numFmtId="164" fontId="11" fillId="2" borderId="20" xfId="1" applyNumberFormat="1" applyFont="1" applyFill="1" applyBorder="1" applyAlignment="1">
      <alignment horizontal="right" vertical="center"/>
    </xf>
    <xf numFmtId="164" fontId="0" fillId="2" borderId="21" xfId="1" applyNumberFormat="1" applyFont="1" applyFill="1" applyBorder="1" applyAlignment="1">
      <alignment horizontal="right" vertical="center"/>
    </xf>
    <xf numFmtId="165" fontId="0" fillId="2" borderId="22" xfId="2" applyNumberFormat="1" applyFont="1" applyFill="1" applyBorder="1" applyAlignment="1">
      <alignment horizontal="right" vertical="center"/>
    </xf>
    <xf numFmtId="165" fontId="0" fillId="2" borderId="23" xfId="2" applyNumberFormat="1" applyFont="1" applyFill="1" applyBorder="1" applyAlignment="1">
      <alignment horizontal="right" vertical="center"/>
    </xf>
    <xf numFmtId="164" fontId="11" fillId="2" borderId="24" xfId="1" applyNumberFormat="1" applyFont="1" applyFill="1" applyBorder="1" applyAlignment="1">
      <alignment horizontal="right" vertical="center"/>
    </xf>
    <xf numFmtId="165" fontId="0" fillId="2" borderId="25" xfId="2" applyNumberFormat="1" applyFont="1" applyFill="1" applyBorder="1" applyAlignment="1">
      <alignment horizontal="right" vertical="center"/>
    </xf>
    <xf numFmtId="164" fontId="0" fillId="2" borderId="0" xfId="0" applyNumberFormat="1" applyFill="1"/>
    <xf numFmtId="166" fontId="0" fillId="2" borderId="0" xfId="0" applyNumberFormat="1" applyFill="1"/>
    <xf numFmtId="164" fontId="11" fillId="2" borderId="9" xfId="1" applyNumberFormat="1" applyFont="1" applyFill="1" applyBorder="1" applyAlignment="1">
      <alignment horizontal="right" vertical="center"/>
    </xf>
    <xf numFmtId="164" fontId="0" fillId="2" borderId="10" xfId="1" applyNumberFormat="1" applyFont="1" applyFill="1" applyBorder="1" applyAlignment="1">
      <alignment horizontal="right" vertical="center"/>
    </xf>
    <xf numFmtId="165" fontId="0" fillId="2" borderId="11" xfId="2" applyNumberFormat="1" applyFont="1" applyFill="1" applyBorder="1" applyAlignment="1">
      <alignment horizontal="right" vertical="center"/>
    </xf>
    <xf numFmtId="165" fontId="0" fillId="2" borderId="11" xfId="0" applyNumberFormat="1" applyFill="1" applyBorder="1" applyAlignment="1">
      <alignment horizontal="right" vertical="center"/>
    </xf>
    <xf numFmtId="164" fontId="11" fillId="2" borderId="12" xfId="1" applyNumberFormat="1" applyFont="1" applyFill="1" applyBorder="1" applyAlignment="1">
      <alignment horizontal="right" vertical="center"/>
    </xf>
    <xf numFmtId="165" fontId="0" fillId="2" borderId="13" xfId="0" applyNumberFormat="1" applyFill="1" applyBorder="1" applyAlignment="1">
      <alignment horizontal="right" vertical="center"/>
    </xf>
    <xf numFmtId="0" fontId="0" fillId="2" borderId="26" xfId="0" applyFill="1" applyBorder="1"/>
    <xf numFmtId="164" fontId="11" fillId="2" borderId="14" xfId="1" applyNumberFormat="1" applyFont="1" applyFill="1" applyBorder="1" applyAlignment="1">
      <alignment horizontal="right" vertical="center"/>
    </xf>
    <xf numFmtId="164" fontId="0" fillId="2" borderId="27" xfId="1" applyNumberFormat="1" applyFont="1" applyFill="1" applyBorder="1" applyAlignment="1">
      <alignment horizontal="right" vertical="center"/>
    </xf>
    <xf numFmtId="165" fontId="0" fillId="2" borderId="15" xfId="2" applyNumberFormat="1" applyFont="1" applyFill="1" applyBorder="1" applyAlignment="1">
      <alignment horizontal="right" vertical="center"/>
    </xf>
    <xf numFmtId="165" fontId="0" fillId="2" borderId="15" xfId="0" applyNumberFormat="1" applyFill="1" applyBorder="1" applyAlignment="1">
      <alignment horizontal="right" vertical="center"/>
    </xf>
    <xf numFmtId="164" fontId="11" fillId="2" borderId="16" xfId="1" applyNumberFormat="1" applyFont="1" applyFill="1" applyBorder="1" applyAlignment="1">
      <alignment horizontal="right" vertical="center"/>
    </xf>
    <xf numFmtId="165" fontId="0" fillId="2" borderId="17" xfId="0" applyNumberFormat="1" applyFill="1" applyBorder="1" applyAlignment="1">
      <alignment horizontal="right" vertical="center"/>
    </xf>
    <xf numFmtId="0" fontId="0" fillId="2" borderId="28" xfId="0" applyFill="1" applyBorder="1"/>
    <xf numFmtId="164" fontId="10" fillId="2" borderId="21" xfId="1" applyNumberFormat="1" applyFont="1" applyFill="1" applyBorder="1" applyAlignment="1">
      <alignment horizontal="right" vertical="center"/>
    </xf>
    <xf numFmtId="165" fontId="10" fillId="2" borderId="22" xfId="2" applyNumberFormat="1" applyFont="1" applyFill="1" applyBorder="1" applyAlignment="1">
      <alignment horizontal="right" vertical="center"/>
    </xf>
    <xf numFmtId="165" fontId="10" fillId="2" borderId="23" xfId="2" applyNumberFormat="1" applyFont="1" applyFill="1" applyBorder="1" applyAlignment="1">
      <alignment horizontal="right" vertical="center"/>
    </xf>
    <xf numFmtId="165" fontId="10" fillId="2" borderId="25" xfId="2" applyNumberFormat="1" applyFont="1" applyFill="1" applyBorder="1" applyAlignment="1">
      <alignment horizontal="right" vertical="center"/>
    </xf>
    <xf numFmtId="0" fontId="3" fillId="0" borderId="0" xfId="3"/>
    <xf numFmtId="0" fontId="3" fillId="2" borderId="0" xfId="3" applyFill="1"/>
    <xf numFmtId="0" fontId="7" fillId="2" borderId="0" xfId="0" applyFont="1" applyFill="1"/>
    <xf numFmtId="0" fontId="0" fillId="6" borderId="7" xfId="0" applyFill="1" applyBorder="1"/>
    <xf numFmtId="0" fontId="0" fillId="6" borderId="8" xfId="0" applyFill="1" applyBorder="1"/>
    <xf numFmtId="164" fontId="11" fillId="6" borderId="9" xfId="1" applyNumberFormat="1" applyFont="1" applyFill="1" applyBorder="1" applyAlignment="1">
      <alignment horizontal="right" vertical="center"/>
    </xf>
    <xf numFmtId="164" fontId="0" fillId="6" borderId="10" xfId="1" applyNumberFormat="1" applyFont="1" applyFill="1" applyBorder="1" applyAlignment="1">
      <alignment horizontal="right" vertical="center"/>
    </xf>
    <xf numFmtId="165" fontId="0" fillId="6" borderId="11" xfId="2" applyNumberFormat="1" applyFont="1" applyFill="1" applyBorder="1" applyAlignment="1">
      <alignment horizontal="right" vertical="center"/>
    </xf>
    <xf numFmtId="165" fontId="0" fillId="6" borderId="11" xfId="0" applyNumberFormat="1" applyFill="1" applyBorder="1" applyAlignment="1">
      <alignment horizontal="right" vertical="center"/>
    </xf>
    <xf numFmtId="164" fontId="11" fillId="6" borderId="12" xfId="1" applyNumberFormat="1" applyFont="1" applyFill="1" applyBorder="1" applyAlignment="1">
      <alignment horizontal="right" vertical="center"/>
    </xf>
    <xf numFmtId="165" fontId="0" fillId="6" borderId="13" xfId="0" applyNumberFormat="1" applyFill="1" applyBorder="1" applyAlignment="1">
      <alignment horizontal="right" vertical="center"/>
    </xf>
    <xf numFmtId="165" fontId="0" fillId="2" borderId="10" xfId="2" applyNumberFormat="1" applyFont="1" applyFill="1" applyBorder="1" applyAlignment="1">
      <alignment horizontal="right" vertical="center"/>
    </xf>
    <xf numFmtId="165" fontId="0" fillId="2" borderId="27" xfId="2" applyNumberFormat="1" applyFont="1" applyFill="1" applyBorder="1" applyAlignment="1">
      <alignment horizontal="right" vertical="center"/>
    </xf>
    <xf numFmtId="165" fontId="0" fillId="2" borderId="17" xfId="2" applyNumberFormat="1" applyFont="1" applyFill="1" applyBorder="1" applyAlignment="1">
      <alignment horizontal="right" vertical="center"/>
    </xf>
    <xf numFmtId="0" fontId="8" fillId="5" borderId="18" xfId="0" applyFont="1" applyFill="1" applyBorder="1" applyAlignment="1">
      <alignment horizontal="left" vertical="center"/>
    </xf>
    <xf numFmtId="0" fontId="11" fillId="2" borderId="28" xfId="0" applyFont="1" applyFill="1" applyBorder="1"/>
    <xf numFmtId="165" fontId="10" fillId="2" borderId="29" xfId="2" applyNumberFormat="1" applyFont="1" applyFill="1" applyBorder="1" applyAlignment="1">
      <alignment horizontal="right" vertical="center"/>
    </xf>
    <xf numFmtId="165" fontId="0" fillId="2" borderId="29" xfId="0" applyNumberFormat="1" applyFill="1" applyBorder="1" applyAlignment="1">
      <alignment horizontal="right" vertical="center"/>
    </xf>
    <xf numFmtId="165" fontId="0" fillId="2" borderId="30" xfId="0" applyNumberFormat="1" applyFill="1" applyBorder="1" applyAlignment="1">
      <alignment horizontal="right" vertical="center"/>
    </xf>
    <xf numFmtId="0" fontId="13" fillId="2" borderId="0" xfId="5" applyFont="1" applyFill="1"/>
    <xf numFmtId="0" fontId="11" fillId="2" borderId="0" xfId="0" applyFont="1" applyFill="1"/>
    <xf numFmtId="164" fontId="11" fillId="2" borderId="0" xfId="1" applyNumberFormat="1" applyFont="1" applyFill="1" applyBorder="1" applyAlignment="1">
      <alignment horizontal="right" vertical="center"/>
    </xf>
    <xf numFmtId="164" fontId="10" fillId="2" borderId="0" xfId="1" applyNumberFormat="1" applyFont="1" applyFill="1" applyBorder="1" applyAlignment="1">
      <alignment horizontal="right" vertical="center"/>
    </xf>
    <xf numFmtId="165" fontId="10" fillId="2" borderId="0" xfId="2" applyNumberFormat="1" applyFont="1" applyFill="1" applyBorder="1" applyAlignment="1">
      <alignment horizontal="right" vertical="center"/>
    </xf>
    <xf numFmtId="165" fontId="0" fillId="2" borderId="0" xfId="0" applyNumberFormat="1" applyFill="1" applyAlignment="1">
      <alignment horizontal="right" vertical="center"/>
    </xf>
  </cellXfs>
  <cellStyles count="6">
    <cellStyle name="Komma" xfId="1" builtinId="3"/>
    <cellStyle name="Link" xfId="3" builtinId="8"/>
    <cellStyle name="Prozent" xfId="2" builtinId="5"/>
    <cellStyle name="Standard" xfId="0" builtinId="0"/>
    <cellStyle name="Standard 3" xfId="4" xr:uid="{F5291A39-9905-407E-BF52-0AF6EC9F5712}"/>
    <cellStyle name="Standard 4" xfId="5" xr:uid="{1AECE7BC-C4C9-4D77-A867-4D4A10053E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[1]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0</xdr:col>
      <xdr:colOff>781049</xdr:colOff>
      <xdr:row>4</xdr:row>
      <xdr:rowOff>123825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86B2BBF-9D0E-429F-A4CA-CEF4D62E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85725"/>
          <a:ext cx="7334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873125</xdr:colOff>
      <xdr:row>5</xdr:row>
      <xdr:rowOff>4202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7CE9A7F-DD9E-48EF-868B-1F1B81A0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68875" cy="947177"/>
        </a:xfrm>
        <a:prstGeom prst="rect">
          <a:avLst/>
        </a:prstGeom>
      </xdr:spPr>
    </xdr:pic>
    <xdr:clientData/>
  </xdr:twoCellAnchor>
  <xdr:twoCellAnchor>
    <xdr:from>
      <xdr:col>5</xdr:col>
      <xdr:colOff>447675</xdr:colOff>
      <xdr:row>0</xdr:row>
      <xdr:rowOff>19050</xdr:rowOff>
    </xdr:from>
    <xdr:to>
      <xdr:col>8</xdr:col>
      <xdr:colOff>276839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B62C4BF-FEB3-43DB-901D-BC454AACF277}"/>
            </a:ext>
          </a:extLst>
        </xdr:cNvPr>
        <xdr:cNvGrpSpPr/>
      </xdr:nvGrpSpPr>
      <xdr:grpSpPr>
        <a:xfrm>
          <a:off x="543877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3381B83F-8851-DA3B-F314-75DDA12C2371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3C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3C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3C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ado\Downloads\1002_Beherbergungsstatistik_Graubuenden,_Monatsdaten_2023%20(4).xlsx" TargetMode="External"/><Relationship Id="rId1" Type="http://schemas.openxmlformats.org/officeDocument/2006/relationships/externalLinkPath" Target="file:///C:\Users\bado\Downloads\1002_Beherbergungsstatistik_Graubuenden,_Monatsdaten_2023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zember 2023"/>
      <sheetName val="November 2023"/>
      <sheetName val="Oktober 2023"/>
      <sheetName val="September 2023"/>
      <sheetName val="August 2023"/>
      <sheetName val="Juli 2023"/>
      <sheetName val="Juni 2023"/>
      <sheetName val="Mai 2023"/>
      <sheetName val="April 2023"/>
      <sheetName val="März 2023"/>
      <sheetName val="Februar 2023"/>
      <sheetName val="Januar 2023"/>
      <sheetName val="Uebersetzu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1</v>
          </cell>
        </row>
        <row r="4">
          <cell r="B4" t="str">
            <v>&lt;Fachbereich&gt;</v>
          </cell>
          <cell r="C4" t="str">
            <v>Daten &amp; Statistik</v>
          </cell>
          <cell r="D4" t="str">
            <v>Datas &amp; Statistica</v>
          </cell>
          <cell r="E4" t="str">
            <v>Dati &amp; Statistica</v>
          </cell>
        </row>
        <row r="5">
          <cell r="B5" t="str">
            <v>&lt;Titelprov&gt;</v>
          </cell>
          <cell r="C5" t="str">
            <v>definitive Ergebnisse</v>
          </cell>
          <cell r="D5" t="str">
            <v>resultats definitivs</v>
          </cell>
          <cell r="E5" t="str">
            <v>cifre definitive</v>
          </cell>
        </row>
        <row r="6">
          <cell r="B6" t="str">
            <v>wenn definitiv-&gt; Zeile oben mit diesem Text ersetzen</v>
          </cell>
          <cell r="C6" t="str">
            <v>definitive Ergebnisse</v>
          </cell>
          <cell r="D6" t="str">
            <v>resultats definitivs</v>
          </cell>
          <cell r="E6" t="str">
            <v>cifre definitive</v>
          </cell>
        </row>
        <row r="7">
          <cell r="B7" t="str">
            <v>&lt;Titel1&gt;</v>
          </cell>
          <cell r="C7" t="str">
            <v>Hotel- und Kurbetriebe: Logiernächte im Januar 2023, nach Herkunft</v>
          </cell>
          <cell r="D7" t="str">
            <v>Manaschis d' hotel e da cura: pernottaziuns il schaner 2023, tenor la derivanza</v>
          </cell>
          <cell r="E7" t="str">
            <v>Alberghi e stabilimenti di cura: pernottamenti nel mese di gennaio 2023, per provenienza</v>
          </cell>
        </row>
        <row r="8">
          <cell r="B8" t="str">
            <v>&lt;Titel2&gt;</v>
          </cell>
          <cell r="C8" t="str">
            <v>Hotel- und Kurbetriebe: Logiernächte im Januar 2023, nach Destinationen</v>
          </cell>
          <cell r="D8" t="str">
            <v>Manaschis d' hotel e da cura: pernottaziuns il schaner 2023, tenor destinaziuns</v>
          </cell>
          <cell r="E8" t="str">
            <v>Alberghi e stabilimenti di cura: pernottamenti nel mese di gennaio 2023, per destinazione</v>
          </cell>
        </row>
        <row r="9">
          <cell r="B9" t="str">
            <v>&lt;Titel3&gt;</v>
          </cell>
          <cell r="C9" t="str">
            <v>Hotel- und Kurbetriebe: Logiernächte im Januar 2023, nach Schweizer Tourismusregionen</v>
          </cell>
          <cell r="D9" t="str">
            <v>Manaschis d' hotel e da cura: pernottaziuns il schaner 2023, tenor regiuns turisticas svizras</v>
          </cell>
          <cell r="E9" t="str">
            <v>Alberghi e stabilimenti di cura: pernottamenti nel mese di gennaio 2023, per regioni turistiche svizzere</v>
          </cell>
        </row>
        <row r="11">
          <cell r="B11" t="str">
            <v>&lt;SpaltenTitel_1&gt;</v>
          </cell>
          <cell r="C11" t="str">
            <v>Januar 2023</v>
          </cell>
          <cell r="D11" t="str">
            <v>Schaner 2023</v>
          </cell>
          <cell r="E11" t="str">
            <v>Gennaio 2023</v>
          </cell>
        </row>
        <row r="12">
          <cell r="B12" t="str">
            <v>&lt;SpaltenTitel_2&gt;</v>
          </cell>
          <cell r="C12" t="str">
            <v>Januar 2022</v>
          </cell>
          <cell r="D12" t="str">
            <v>Schaner 2022</v>
          </cell>
          <cell r="E12" t="str">
            <v>Gennaio 2022</v>
          </cell>
        </row>
        <row r="13">
          <cell r="B13" t="str">
            <v>&lt;SpaltenTitel_3&gt;</v>
          </cell>
          <cell r="C13" t="str">
            <v>Veränderung 23/22 in %</v>
          </cell>
          <cell r="D13" t="str">
            <v>Midament 23/22 in %</v>
          </cell>
          <cell r="E13" t="str">
            <v>Variazione 23/22 in %</v>
          </cell>
        </row>
        <row r="14">
          <cell r="B14" t="str">
            <v>&lt;SpaltenTitel_4&gt;</v>
          </cell>
          <cell r="C14" t="str">
            <v>Veränderung zum
5-Jahresmittel 
in %</v>
          </cell>
          <cell r="D14" t="str">
            <v>Midada a la
media da 5 onns 
en %</v>
          </cell>
          <cell r="E14" t="str">
            <v>Variazione alla media quinquennale in %</v>
          </cell>
        </row>
        <row r="15">
          <cell r="B15" t="str">
            <v>&lt;SpaltenTitel_5&gt;</v>
          </cell>
        </row>
        <row r="16">
          <cell r="B16" t="str">
            <v>&lt;SpaltenTitel_6&gt;</v>
          </cell>
        </row>
        <row r="17">
          <cell r="B17" t="str">
            <v>&lt;SpaltenTitel_7&gt;</v>
          </cell>
          <cell r="C17" t="str">
            <v>Veränderung 23/22 in %</v>
          </cell>
          <cell r="D17" t="str">
            <v>Midament 23/22 in %</v>
          </cell>
          <cell r="E17" t="str">
            <v>Variazione 23/22 in %</v>
          </cell>
        </row>
        <row r="18">
          <cell r="B18" t="str">
            <v>&lt;SpaltenTitel_8&gt;</v>
          </cell>
          <cell r="C18" t="str">
            <v>Veränderung zum
5-Jahresmittel 
in %</v>
          </cell>
          <cell r="D18" t="str">
            <v>Midada a la
media da 5 onns 
en %</v>
          </cell>
          <cell r="E18" t="str">
            <v>Variazione alla media quinquennale in %</v>
          </cell>
        </row>
        <row r="20">
          <cell r="B20" t="str">
            <v>&lt;Zeilentitel_1&gt;</v>
          </cell>
          <cell r="C20" t="str">
            <v>Schweiz</v>
          </cell>
          <cell r="D20" t="str">
            <v>Svizra</v>
          </cell>
          <cell r="E20" t="str">
            <v>Svizzera</v>
          </cell>
        </row>
        <row r="21">
          <cell r="B21" t="str">
            <v>&lt;Zeilentitel_2&gt;</v>
          </cell>
          <cell r="C21" t="str">
            <v>Deutschland</v>
          </cell>
          <cell r="D21" t="str">
            <v>Germania</v>
          </cell>
          <cell r="E21" t="str">
            <v>Germania</v>
          </cell>
        </row>
        <row r="22">
          <cell r="B22" t="str">
            <v>&lt;Zeilentitel_3&gt;</v>
          </cell>
          <cell r="C22" t="str">
            <v>Italien</v>
          </cell>
          <cell r="D22" t="str">
            <v>Italia</v>
          </cell>
          <cell r="E22" t="str">
            <v>Italia</v>
          </cell>
        </row>
        <row r="23">
          <cell r="B23" t="str">
            <v>&lt;Zeilentitel_4&gt;</v>
          </cell>
          <cell r="C23" t="str">
            <v>Frankreich</v>
          </cell>
          <cell r="D23" t="str">
            <v>Frantscha</v>
          </cell>
          <cell r="E23" t="str">
            <v>Francia</v>
          </cell>
        </row>
        <row r="24">
          <cell r="B24" t="str">
            <v>&lt;Zeilentitel_5&gt;</v>
          </cell>
          <cell r="C24" t="str">
            <v>Österreich</v>
          </cell>
          <cell r="D24" t="str">
            <v>Austria</v>
          </cell>
          <cell r="E24" t="str">
            <v>Austria</v>
          </cell>
        </row>
        <row r="25">
          <cell r="B25" t="str">
            <v>&lt;Zeilentitel_6&gt;</v>
          </cell>
          <cell r="C25" t="str">
            <v>Niederlande</v>
          </cell>
          <cell r="D25" t="str">
            <v>Pajais Bass</v>
          </cell>
          <cell r="E25" t="str">
            <v>Paesi Bassi</v>
          </cell>
        </row>
        <row r="26">
          <cell r="B26" t="str">
            <v>&lt;Zeilentitel_7&gt;</v>
          </cell>
          <cell r="C26" t="str">
            <v>Belgien</v>
          </cell>
          <cell r="D26" t="str">
            <v>Belgia</v>
          </cell>
          <cell r="E26" t="str">
            <v>Belgio</v>
          </cell>
        </row>
        <row r="27">
          <cell r="B27" t="str">
            <v>&lt;Zeilentitel_8&gt;</v>
          </cell>
          <cell r="C27" t="str">
            <v>Luxemburg</v>
          </cell>
          <cell r="D27" t="str">
            <v>Luxemburg</v>
          </cell>
          <cell r="E27" t="str">
            <v>Lussemburgo</v>
          </cell>
        </row>
        <row r="28">
          <cell r="B28" t="str">
            <v>&lt;Zeilentitel_9&gt;</v>
          </cell>
          <cell r="C28" t="str">
            <v>Vereinigtes Königreich</v>
          </cell>
          <cell r="D28" t="str">
            <v>Reginavel Unì</v>
          </cell>
          <cell r="E28" t="str">
            <v>Regno Unito</v>
          </cell>
        </row>
        <row r="29">
          <cell r="B29" t="str">
            <v>&lt;Zeilentitel_10&gt;</v>
          </cell>
          <cell r="C29" t="str">
            <v>Vereinigte Staaten</v>
          </cell>
          <cell r="D29" t="str">
            <v>Stadis Unids</v>
          </cell>
          <cell r="E29" t="str">
            <v>Stati Uniti</v>
          </cell>
        </row>
        <row r="30">
          <cell r="B30" t="str">
            <v>&lt;Zeilentitel_11&gt;</v>
          </cell>
          <cell r="C30" t="str">
            <v>Polen</v>
          </cell>
          <cell r="D30" t="str">
            <v>Pologna</v>
          </cell>
          <cell r="E30" t="str">
            <v>Polonia</v>
          </cell>
        </row>
        <row r="31">
          <cell r="B31" t="str">
            <v>&lt;Zeilentitel_12&gt;</v>
          </cell>
          <cell r="C31" t="str">
            <v>Tschechien</v>
          </cell>
          <cell r="D31" t="str">
            <v>Republica Tscheca</v>
          </cell>
          <cell r="E31" t="str">
            <v>Repubblica Ceca</v>
          </cell>
        </row>
        <row r="32">
          <cell r="B32" t="str">
            <v>&lt;Zeilentitel_13&gt;</v>
          </cell>
          <cell r="C32" t="str">
            <v>Russland</v>
          </cell>
          <cell r="D32" t="str">
            <v>Russia</v>
          </cell>
          <cell r="E32" t="str">
            <v>Russia</v>
          </cell>
        </row>
        <row r="33">
          <cell r="B33" t="str">
            <v>&lt;Zeilentitel_14&gt;</v>
          </cell>
          <cell r="C33" t="str">
            <v>Schweden</v>
          </cell>
          <cell r="D33" t="str">
            <v>Svezia</v>
          </cell>
          <cell r="E33" t="str">
            <v>Svezia</v>
          </cell>
        </row>
        <row r="34">
          <cell r="B34" t="str">
            <v>&lt;Zeilentitel_15&gt;</v>
          </cell>
          <cell r="C34" t="str">
            <v>Norwegen</v>
          </cell>
          <cell r="D34" t="str">
            <v>Norvegia</v>
          </cell>
          <cell r="E34" t="str">
            <v>Norvegia</v>
          </cell>
        </row>
        <row r="35">
          <cell r="B35" t="str">
            <v>&lt;Zeilentitel_16&gt;</v>
          </cell>
          <cell r="C35" t="str">
            <v>Dänemark</v>
          </cell>
          <cell r="D35" t="str">
            <v>Danemarc</v>
          </cell>
          <cell r="E35" t="str">
            <v>Danimarca</v>
          </cell>
        </row>
        <row r="36">
          <cell r="B36" t="str">
            <v>&lt;Zeilentitel_17&gt;</v>
          </cell>
          <cell r="C36" t="str">
            <v>Finnland</v>
          </cell>
          <cell r="D36" t="str">
            <v>Finlanda</v>
          </cell>
          <cell r="E36" t="str">
            <v>Finlandia</v>
          </cell>
        </row>
        <row r="37">
          <cell r="B37" t="str">
            <v>&lt;Zeilentitel_18&gt;</v>
          </cell>
          <cell r="C37" t="str">
            <v>Japan</v>
          </cell>
          <cell r="D37" t="str">
            <v>Giapun</v>
          </cell>
          <cell r="E37" t="str">
            <v>Giappone</v>
          </cell>
        </row>
        <row r="38">
          <cell r="B38" t="str">
            <v>&lt;Zeilentitel_19&gt;</v>
          </cell>
          <cell r="C38" t="str">
            <v>China / Hongkong / Taiwan (Chin. Taipei)</v>
          </cell>
          <cell r="D38" t="str">
            <v>China (incl. Hongkong) / Taiwan</v>
          </cell>
          <cell r="E38" t="str">
            <v>Cina (inclusa Hong Kong) / Taiwan</v>
          </cell>
        </row>
        <row r="39">
          <cell r="B39" t="str">
            <v>&lt;Zeilentitel_20&gt;</v>
          </cell>
          <cell r="C39" t="str">
            <v xml:space="preserve">Indien </v>
          </cell>
          <cell r="D39" t="str">
            <v xml:space="preserve">India </v>
          </cell>
          <cell r="E39" t="str">
            <v xml:space="preserve">India </v>
          </cell>
        </row>
        <row r="40">
          <cell r="B40" t="str">
            <v>&lt;Zeilentitel_21&gt;</v>
          </cell>
          <cell r="C40" t="str">
            <v>Brasilien</v>
          </cell>
          <cell r="D40" t="str">
            <v>Brasilia</v>
          </cell>
          <cell r="E40" t="str">
            <v>Brasile</v>
          </cell>
        </row>
        <row r="41">
          <cell r="B41" t="str">
            <v>&lt;Zeilentitel_22&gt;</v>
          </cell>
          <cell r="C41" t="str">
            <v>Golfstaaten</v>
          </cell>
          <cell r="D41" t="str">
            <v>Stadis dal Golf</v>
          </cell>
          <cell r="E41" t="str">
            <v>Stati del Golfo</v>
          </cell>
        </row>
        <row r="42">
          <cell r="B42" t="str">
            <v>&lt;Zeilentitel_23&gt;</v>
          </cell>
          <cell r="C42" t="str">
            <v>Übrige Herkunftsländer</v>
          </cell>
          <cell r="D42" t="str">
            <v>Ulteriurs pajais d'origin</v>
          </cell>
          <cell r="E42" t="str">
            <v>Altri paesi di origine</v>
          </cell>
        </row>
        <row r="43">
          <cell r="B43" t="str">
            <v>&lt;Zeilentitel_24&gt;</v>
          </cell>
          <cell r="C43" t="str">
            <v>Graubünden</v>
          </cell>
          <cell r="D43" t="str">
            <v>Grischun</v>
          </cell>
          <cell r="E43" t="str">
            <v>Grigioni</v>
          </cell>
        </row>
        <row r="44">
          <cell r="B44" t="str">
            <v>&lt;Zeilentitel_25&gt;</v>
          </cell>
          <cell r="C44" t="str">
            <v>Arosa</v>
          </cell>
          <cell r="D44" t="str">
            <v xml:space="preserve">Arosa </v>
          </cell>
          <cell r="E44" t="str">
            <v xml:space="preserve">Arosa </v>
          </cell>
        </row>
        <row r="45">
          <cell r="B45" t="str">
            <v>&lt;Zeilentitel_26&gt;</v>
          </cell>
          <cell r="C45" t="str">
            <v>Bergün Filisur</v>
          </cell>
          <cell r="D45" t="str">
            <v>Bergün Filisur</v>
          </cell>
          <cell r="E45" t="str">
            <v>Bergün Filisur</v>
          </cell>
        </row>
        <row r="46">
          <cell r="B46" t="str">
            <v>&lt;Zeilentitel_27&gt;</v>
          </cell>
          <cell r="C46" t="str">
            <v>Bregaglia Engadin</v>
          </cell>
          <cell r="D46" t="str">
            <v>Bregaglia Engadin</v>
          </cell>
          <cell r="E46" t="str">
            <v>Bregaglia Engadin</v>
          </cell>
        </row>
        <row r="47">
          <cell r="B47" t="str">
            <v>&lt;Zeilentitel_28&gt;</v>
          </cell>
          <cell r="C47" t="str">
            <v>Bündner Herrschaft</v>
          </cell>
          <cell r="D47" t="str">
            <v>Bündner Herschaft</v>
          </cell>
          <cell r="E47" t="str">
            <v>Bündner Herschaft</v>
          </cell>
        </row>
        <row r="48">
          <cell r="B48" t="str">
            <v>&lt;Zeilentitel_29&gt;</v>
          </cell>
          <cell r="C48" t="str">
            <v>Chur</v>
          </cell>
          <cell r="D48" t="str">
            <v>Chur</v>
          </cell>
          <cell r="E48" t="str">
            <v>Chur</v>
          </cell>
        </row>
        <row r="49">
          <cell r="B49" t="str">
            <v>&lt;Zeilentitel_30&gt;</v>
          </cell>
          <cell r="C49" t="str">
            <v>Davos Klosters</v>
          </cell>
          <cell r="D49" t="str">
            <v>Davos Klosters</v>
          </cell>
          <cell r="E49" t="str">
            <v>Davos Klosters</v>
          </cell>
        </row>
        <row r="50">
          <cell r="B50" t="str">
            <v>&lt;Zeilentitel_31&gt;</v>
          </cell>
          <cell r="C50" t="str">
            <v>Disentis Sedrun</v>
          </cell>
          <cell r="D50" t="str">
            <v>Disentis Sedrun</v>
          </cell>
          <cell r="E50" t="str">
            <v>Disentis Sedrun</v>
          </cell>
        </row>
        <row r="51">
          <cell r="B51" t="str">
            <v>&lt;Zeilentitel_32&gt;</v>
          </cell>
          <cell r="C51" t="str">
            <v>Scuol Samnaun Val Müstair</v>
          </cell>
          <cell r="D51" t="str">
            <v>Scuol Samnaun Val Müstair</v>
          </cell>
          <cell r="E51" t="str">
            <v>Scuol Samnaun Val Müstair</v>
          </cell>
        </row>
        <row r="52">
          <cell r="B52" t="str">
            <v>&lt;Zeilentitel_33&gt;</v>
          </cell>
          <cell r="C52" t="str">
            <v>Engadin St. Moritz</v>
          </cell>
          <cell r="D52" t="str">
            <v>Engadin St. Moritz</v>
          </cell>
          <cell r="E52" t="str">
            <v>Engadin St. Moritz</v>
          </cell>
        </row>
        <row r="53">
          <cell r="B53" t="str">
            <v>&lt;Zeilentitel_34&gt;</v>
          </cell>
          <cell r="C53" t="str">
            <v>Flims Laax</v>
          </cell>
          <cell r="D53" t="str">
            <v>Flims Laax</v>
          </cell>
          <cell r="E53" t="str">
            <v>Flims Laax</v>
          </cell>
        </row>
        <row r="54">
          <cell r="B54" t="str">
            <v>&lt;Zeilentitel_35&gt;</v>
          </cell>
          <cell r="C54" t="str">
            <v>Lenzerheide</v>
          </cell>
          <cell r="D54" t="str">
            <v>Lenzerheide</v>
          </cell>
          <cell r="E54" t="str">
            <v>Lenzerheide</v>
          </cell>
        </row>
        <row r="55">
          <cell r="B55" t="str">
            <v>&lt;Zeilentitel_36&gt;</v>
          </cell>
          <cell r="C55" t="str">
            <v>Prättigau</v>
          </cell>
          <cell r="D55" t="str">
            <v>Prättigau</v>
          </cell>
          <cell r="E55" t="str">
            <v>Prättigau</v>
          </cell>
        </row>
        <row r="56">
          <cell r="B56" t="str">
            <v>&lt;Zeilentitel_37&gt;</v>
          </cell>
          <cell r="C56" t="str">
            <v>San Bernardino, Mesolcina/Calanca</v>
          </cell>
          <cell r="D56" t="str">
            <v>San Bernardino, Mesolcina/Calanca</v>
          </cell>
          <cell r="E56" t="str">
            <v>San Bernardino, Mesolcina/Calanca</v>
          </cell>
        </row>
        <row r="57">
          <cell r="B57" t="str">
            <v>&lt;Zeilentitel_38&gt;</v>
          </cell>
          <cell r="C57" t="str">
            <v>Val Surses</v>
          </cell>
          <cell r="D57" t="str">
            <v>Val Surses (inkl. Gde Albula/Alvra)</v>
          </cell>
          <cell r="E57" t="str">
            <v>Val Surses (inkl. Gde Albula/Alvra)</v>
          </cell>
        </row>
        <row r="58">
          <cell r="B58" t="str">
            <v>&lt;Zeilentitel_39&gt;</v>
          </cell>
          <cell r="C58" t="str">
            <v>Surselva</v>
          </cell>
          <cell r="D58" t="str">
            <v>Surselva</v>
          </cell>
          <cell r="E58" t="str">
            <v>Surselva</v>
          </cell>
        </row>
        <row r="59">
          <cell r="B59" t="str">
            <v>&lt;Zeilentitel_40&gt;</v>
          </cell>
          <cell r="C59" t="str">
            <v>Valposchiavo</v>
          </cell>
          <cell r="D59" t="str">
            <v>Valposchiavo</v>
          </cell>
          <cell r="E59" t="str">
            <v>Valposchiavo</v>
          </cell>
        </row>
        <row r="60">
          <cell r="B60" t="str">
            <v>&lt;Zeilentitel_41&gt;</v>
          </cell>
          <cell r="C60" t="str">
            <v>Vals</v>
          </cell>
          <cell r="D60" t="str">
            <v>Vals</v>
          </cell>
          <cell r="E60" t="str">
            <v>Vals</v>
          </cell>
        </row>
        <row r="61">
          <cell r="B61" t="str">
            <v>&lt;Zeilentitel_42&gt;</v>
          </cell>
          <cell r="C61" t="str">
            <v>Viamala</v>
          </cell>
          <cell r="D61" t="str">
            <v>Viamala</v>
          </cell>
          <cell r="E61" t="str">
            <v>Viamala</v>
          </cell>
        </row>
        <row r="62">
          <cell r="B62" t="str">
            <v>&lt;Zeilentitel_43&gt;</v>
          </cell>
          <cell r="C62" t="str">
            <v>Graubünden</v>
          </cell>
          <cell r="D62" t="str">
            <v>Grischun</v>
          </cell>
          <cell r="E62" t="str">
            <v>Grigioni</v>
          </cell>
        </row>
        <row r="63">
          <cell r="B63" t="str">
            <v>&lt;Zeilentitel_44&gt;</v>
          </cell>
          <cell r="C63" t="str">
            <v>Aargau und Solothurn Region</v>
          </cell>
          <cell r="D63" t="str">
            <v>Regiun Argovia e Solturn</v>
          </cell>
          <cell r="E63" t="str">
            <v>Regione Argovia e Soletta</v>
          </cell>
        </row>
        <row r="64">
          <cell r="B64" t="str">
            <v>&lt;Zeilentitel_45&gt;</v>
          </cell>
          <cell r="C64" t="str">
            <v>Basel Region</v>
          </cell>
          <cell r="D64" t="str">
            <v>Regiun Basilea</v>
          </cell>
          <cell r="E64" t="str">
            <v>Regione Basilea</v>
          </cell>
        </row>
        <row r="65">
          <cell r="B65" t="str">
            <v>&lt;Zeilentitel_46&gt;</v>
          </cell>
          <cell r="C65" t="str">
            <v>Bern Region</v>
          </cell>
          <cell r="D65" t="str">
            <v>Regiun Berna</v>
          </cell>
          <cell r="E65" t="str">
            <v>Regione Berna</v>
          </cell>
        </row>
        <row r="66">
          <cell r="B66" t="str">
            <v>&lt;Zeilentitel_47&gt;</v>
          </cell>
          <cell r="C66" t="str">
            <v>Fribourg Region</v>
          </cell>
          <cell r="D66" t="str">
            <v>Regiun da Friburg</v>
          </cell>
          <cell r="E66" t="str">
            <v>Regione Friburgo</v>
          </cell>
        </row>
        <row r="67">
          <cell r="B67" t="str">
            <v>&lt;Zeilentitel_48&gt;</v>
          </cell>
          <cell r="C67" t="str">
            <v>Genf</v>
          </cell>
          <cell r="D67" t="str">
            <v>Genevra</v>
          </cell>
          <cell r="E67" t="str">
            <v>Ginevra</v>
          </cell>
        </row>
        <row r="68">
          <cell r="B68" t="str">
            <v>&lt;Zeilentitel_49&gt;</v>
          </cell>
          <cell r="C68" t="str">
            <v>Graubünden</v>
          </cell>
          <cell r="D68" t="str">
            <v>Grischun</v>
          </cell>
          <cell r="E68" t="str">
            <v>Grigioni</v>
          </cell>
        </row>
        <row r="69">
          <cell r="B69" t="str">
            <v>&lt;Zeilentitel_50&gt;</v>
          </cell>
          <cell r="C69" t="str">
            <v>Jura &amp; Drei-Seen-Land</v>
          </cell>
          <cell r="D69" t="str">
            <v>Giura &amp; Trais lais</v>
          </cell>
          <cell r="E69" t="str">
            <v>Giura &amp; Tre Laghi</v>
          </cell>
        </row>
        <row r="70">
          <cell r="B70" t="str">
            <v>&lt;Zeilentitel_51&gt;</v>
          </cell>
          <cell r="C70" t="str">
            <v>Luzern / Vierwaldstättersee</v>
          </cell>
          <cell r="D70" t="str">
            <v>Lucerna / Lai dals Quatter Chantuns</v>
          </cell>
          <cell r="E70" t="str">
            <v>Lucerna / Lago dei Quattro Cantoni</v>
          </cell>
        </row>
        <row r="71">
          <cell r="B71" t="str">
            <v>&lt;Zeilentitel_52&gt;</v>
          </cell>
          <cell r="C71" t="str">
            <v>Ostschweiz</v>
          </cell>
          <cell r="D71" t="str">
            <v>Svizra Orientala</v>
          </cell>
          <cell r="E71" t="str">
            <v>Svizzera orientale</v>
          </cell>
        </row>
        <row r="72">
          <cell r="B72" t="str">
            <v>&lt;Zeilentitel_53&gt;</v>
          </cell>
          <cell r="C72" t="str">
            <v>Tessin</v>
          </cell>
          <cell r="D72" t="str">
            <v>Tessin</v>
          </cell>
          <cell r="E72" t="str">
            <v>Ticino</v>
          </cell>
        </row>
        <row r="73">
          <cell r="B73" t="str">
            <v>&lt;Zeilentitel_54&gt;</v>
          </cell>
          <cell r="C73" t="str">
            <v>Waadt</v>
          </cell>
          <cell r="D73" t="str">
            <v>Vad</v>
          </cell>
          <cell r="E73" t="str">
            <v>Vaud</v>
          </cell>
        </row>
        <row r="74">
          <cell r="B74" t="str">
            <v>&lt;Zeilentitel_55&gt;</v>
          </cell>
          <cell r="C74" t="str">
            <v>Wallis</v>
          </cell>
          <cell r="D74" t="str">
            <v>Vallais</v>
          </cell>
          <cell r="E74" t="str">
            <v>Vallese</v>
          </cell>
        </row>
        <row r="75">
          <cell r="B75" t="str">
            <v>&lt;Zeilentitel_56&gt;</v>
          </cell>
          <cell r="C75" t="str">
            <v>Zürich Region</v>
          </cell>
          <cell r="D75" t="str">
            <v>Regiun da Turitg</v>
          </cell>
          <cell r="E75" t="str">
            <v>Regione Zurigo</v>
          </cell>
        </row>
        <row r="76">
          <cell r="B76" t="str">
            <v>&lt;Zeilentitel_57&gt;</v>
          </cell>
          <cell r="C76" t="str">
            <v>Schweiz</v>
          </cell>
          <cell r="D76" t="str">
            <v>Svizra</v>
          </cell>
          <cell r="E76" t="str">
            <v>Svizzera</v>
          </cell>
        </row>
        <row r="78">
          <cell r="B78" t="str">
            <v>&lt;Legende_1&gt;</v>
          </cell>
          <cell r="C78" t="str">
            <v>Aktuelle Zuordnung der politischen Gemeinden zu Destinationen:</v>
          </cell>
          <cell r="D78" t="str">
            <v>Attribuziun actuala da las vischnancas politicas a destinaziuns:</v>
          </cell>
          <cell r="E78" t="str">
            <v>Attuale assegnazione dei comuni politici alle destinazioni:</v>
          </cell>
        </row>
        <row r="79">
          <cell r="B79" t="str">
            <v>&lt;Legende_2&gt;</v>
          </cell>
          <cell r="C79" t="str">
            <v>Kontakt: Luzius Stricker, 081 257 23 74, luzius.stricker@awt.gr.ch</v>
          </cell>
          <cell r="D79" t="str">
            <v>Contact: Luzius Stricker, 081 257 23 74, luzius.stricker@awt.gr.ch</v>
          </cell>
          <cell r="E79" t="str">
            <v>Contatto: Luzius Stricker, 081 257 23 74, luzius.stricker@awt.gr.ch</v>
          </cell>
        </row>
        <row r="80">
          <cell r="B80" t="str">
            <v>&lt;Legende_3&gt;</v>
          </cell>
          <cell r="C80" t="str">
            <v>Daten des Februar 2023 erscheinen am 4. April 2023.</v>
          </cell>
          <cell r="D80" t="str">
            <v>Datas dal fevrer 2023 cumparan ils 4 da avrigl 2023.</v>
          </cell>
          <cell r="E80" t="str">
            <v>I dati del febbraio 2023 saranno pubblicati il 7 aprile 2023.</v>
          </cell>
        </row>
        <row r="82">
          <cell r="B82" t="str">
            <v>&lt;Quelle_1&gt;</v>
          </cell>
          <cell r="C82" t="str">
            <v>Quelle: BFS (HESTA)</v>
          </cell>
          <cell r="D82" t="str">
            <v>Funtauna: UST (HESTA)</v>
          </cell>
          <cell r="E82" t="str">
            <v>Fonte: UST (HESTA)</v>
          </cell>
        </row>
        <row r="83">
          <cell r="B83" t="str">
            <v>&lt;Aktualisierung&gt;</v>
          </cell>
          <cell r="C83" t="str">
            <v>Letztmals aktualisiert am: 06.03.2023</v>
          </cell>
          <cell r="D83" t="str">
            <v>Ultima actualisaziun: 06.03.2023</v>
          </cell>
          <cell r="E83" t="str">
            <v>Ultimo aggiornamento: 06.03.2023</v>
          </cell>
        </row>
        <row r="86">
          <cell r="B86" t="str">
            <v>&lt;T2Titel1&gt;</v>
          </cell>
          <cell r="C86" t="str">
            <v>Hotel- und Kurbetriebe: Logiernächte im Februar 2023, nach Herkunft</v>
          </cell>
          <cell r="D86" t="str">
            <v>Manaschis d' hotel e da cura: pernottaziuns il fevrer 2023, tenor la derivanza</v>
          </cell>
          <cell r="E86" t="str">
            <v>Alberghi e stabilimenti di cura: pernottamenti nel mese di febbraio 2023, per provenienza</v>
          </cell>
        </row>
        <row r="87">
          <cell r="B87" t="str">
            <v>&lt;T2Titel2&gt;</v>
          </cell>
          <cell r="C87" t="str">
            <v>Hotel- und Kurbetriebe: Logiernächte im Februar 2023, nach Destinationen</v>
          </cell>
          <cell r="D87" t="str">
            <v>Manaschis d' hotel e da cura: pernottaziuns il fevrer 2023, tenor destinaziuns</v>
          </cell>
          <cell r="E87" t="str">
            <v>Alberghi e stabilimenti di cura: pernottamenti nel mese di febbraio 2023, per destinazione</v>
          </cell>
        </row>
        <row r="88">
          <cell r="B88" t="str">
            <v>&lt;T2Titel3&gt;</v>
          </cell>
          <cell r="C88" t="str">
            <v>Hotel- und Kurbetriebe: Logiernächte im Februar 2023, nach Schweizer Tourismusregionen</v>
          </cell>
          <cell r="D88" t="str">
            <v>Manaschis d' hotel e da cura: pernottaziuns il fevrer 2023, tenor regiuns turisticas svizras</v>
          </cell>
          <cell r="E88" t="str">
            <v>Alberghi e stabilimenti di cura: pernottamenti nel mese di febbraio 2023, per regioni turistiche svizzere</v>
          </cell>
        </row>
        <row r="90">
          <cell r="B90" t="str">
            <v>&lt;T2SpaltenTitel_1&gt;</v>
          </cell>
          <cell r="C90" t="str">
            <v>Februar 2023</v>
          </cell>
          <cell r="D90" t="str">
            <v>Fevrer 2023</v>
          </cell>
          <cell r="E90" t="str">
            <v>Febbraio 2023</v>
          </cell>
        </row>
        <row r="91">
          <cell r="B91" t="str">
            <v>&lt;T2SpaltenTitel_2&gt;</v>
          </cell>
          <cell r="C91" t="str">
            <v>Februar 2022</v>
          </cell>
          <cell r="D91" t="str">
            <v>Fevrer 2022</v>
          </cell>
          <cell r="E91" t="str">
            <v>Febbraio 2022</v>
          </cell>
        </row>
        <row r="92">
          <cell r="B92" t="str">
            <v>&lt;T2SpaltenTitel_5&gt;</v>
          </cell>
          <cell r="C92" t="str">
            <v>Januar-Februar 23</v>
          </cell>
          <cell r="D92" t="str">
            <v>Schaner-fevrer 23</v>
          </cell>
          <cell r="E92" t="str">
            <v>Gennaio-febbraio 23</v>
          </cell>
        </row>
        <row r="93">
          <cell r="B93" t="str">
            <v>&lt;T2SpaltenTitel_6&gt;</v>
          </cell>
          <cell r="C93" t="str">
            <v>Januar-Februar 22</v>
          </cell>
          <cell r="D93" t="str">
            <v>Schaner-fevrer 22</v>
          </cell>
          <cell r="E93" t="str">
            <v>Gennaio-febbraio 22</v>
          </cell>
        </row>
        <row r="95">
          <cell r="B95" t="str">
            <v>&lt;T2Legende_3&gt;</v>
          </cell>
          <cell r="C95" t="str">
            <v>Daten des März 2023 erscheinen am 9. Mai 2023.</v>
          </cell>
          <cell r="D95" t="str">
            <v>Datas dal mars 2023 cumparan ils 9 da matg 2023.</v>
          </cell>
          <cell r="E95" t="str">
            <v>I dati del marzo 2023 saranno pubblicati il 7 maggio 2023.</v>
          </cell>
        </row>
        <row r="97">
          <cell r="B97" t="str">
            <v>&lt;T2Aktualisierung&gt;</v>
          </cell>
          <cell r="C97" t="str">
            <v>Letztmals aktualisiert am: 22.02.2024</v>
          </cell>
          <cell r="D97" t="str">
            <v>Ultima actualisaziun: 22.02.2024</v>
          </cell>
          <cell r="E97" t="str">
            <v>Ultimo aggiornamento: 22.02.2024</v>
          </cell>
        </row>
        <row r="100">
          <cell r="B100" t="str">
            <v>&lt;T3Titel1&gt;</v>
          </cell>
          <cell r="C100" t="str">
            <v>Hotel- und Kurbetriebe: Logiernächte im März 2023, nach Herkunft</v>
          </cell>
          <cell r="D100" t="str">
            <v>Manaschis d' hotel e da cura: pernottaziuns il mars 2023, tenor la derivanza</v>
          </cell>
          <cell r="E100" t="str">
            <v>Alberghi e stabilimenti di cura: pernottamenti nel mese di marzo 2023, per provenienza</v>
          </cell>
        </row>
        <row r="101">
          <cell r="B101" t="str">
            <v>&lt;T3Titel2&gt;</v>
          </cell>
          <cell r="C101" t="str">
            <v>Hotel- und Kurbetriebe: Logiernächte im März 2023, nach Destinationen</v>
          </cell>
          <cell r="D101" t="str">
            <v>Manaschis d' hotel e da cura: pernottaziuns il mars 2023, tenor destinaziuns</v>
          </cell>
          <cell r="E101" t="str">
            <v>Alberghi e stabilimenti di cura: pernottamenti nel mese di marzo 2023, per destinazione</v>
          </cell>
        </row>
        <row r="102">
          <cell r="B102" t="str">
            <v>&lt;T3Titel3&gt;</v>
          </cell>
          <cell r="C102" t="str">
            <v>Hotel- und Kurbetriebe: Logiernächte im März 2023, nach Schweizer Tourismusregionen</v>
          </cell>
          <cell r="D102" t="str">
            <v>Manaschis d' hotel e da cura: pernottaziuns il mars 2023, tenor regiuns turisticas svizras</v>
          </cell>
          <cell r="E102" t="str">
            <v>Alberghi e stabilimenti di cura: pernottamenti nel mese di marzo 2023, per regioni turistiche svizzere</v>
          </cell>
        </row>
        <row r="104">
          <cell r="B104" t="str">
            <v>&lt;T3SpaltenTitel_1&gt;</v>
          </cell>
          <cell r="C104" t="str">
            <v>März 2023</v>
          </cell>
          <cell r="D104" t="str">
            <v>Mars 2023</v>
          </cell>
          <cell r="E104" t="str">
            <v>Marzo 2023</v>
          </cell>
        </row>
        <row r="105">
          <cell r="B105" t="str">
            <v>&lt;T3SpaltenTitel_2&gt;</v>
          </cell>
          <cell r="C105" t="str">
            <v>März 2022</v>
          </cell>
          <cell r="D105" t="str">
            <v>Mars 2022</v>
          </cell>
          <cell r="E105" t="str">
            <v>Marzo 2022</v>
          </cell>
        </row>
        <row r="106">
          <cell r="B106" t="str">
            <v>&lt;T3SpaltenTitel_5&gt;</v>
          </cell>
          <cell r="C106" t="str">
            <v>Januar-März 23</v>
          </cell>
          <cell r="D106" t="str">
            <v>Schaner-mars 23</v>
          </cell>
          <cell r="E106" t="str">
            <v>Gennaio-marzo 23</v>
          </cell>
        </row>
        <row r="107">
          <cell r="B107" t="str">
            <v>&lt;T3SpaltenTitel_6&gt;</v>
          </cell>
          <cell r="C107" t="str">
            <v>Januar-März 22</v>
          </cell>
          <cell r="D107" t="str">
            <v>Schaner-mars 22</v>
          </cell>
          <cell r="E107" t="str">
            <v>Gennaio-marzo 22</v>
          </cell>
        </row>
        <row r="109">
          <cell r="B109" t="str">
            <v>&lt;T3Legende_3&gt;</v>
          </cell>
          <cell r="C109" t="str">
            <v>Daten des April 2023 erscheinen am 6. Juni 2023.</v>
          </cell>
          <cell r="D109" t="str">
            <v>Datas dal avrigl 2023 cumparan ils 7 da zercladur 2023.</v>
          </cell>
          <cell r="E109" t="str">
            <v>I dati del aprile 2023 saranno pubblicati il 6 giugno 2023.</v>
          </cell>
        </row>
        <row r="111">
          <cell r="B111" t="str">
            <v>&lt;T3Aktualisierung&gt;</v>
          </cell>
          <cell r="C111" t="str">
            <v>Letztmals aktualisiert am: 22.02.2024</v>
          </cell>
          <cell r="D111" t="str">
            <v>Ultima actualisaziun: 22.02.2024</v>
          </cell>
          <cell r="E111" t="str">
            <v>Ultimo aggiornamento: 22.02.2024</v>
          </cell>
        </row>
        <row r="114">
          <cell r="B114" t="str">
            <v>&lt;T4Titel1&gt;</v>
          </cell>
          <cell r="C114" t="str">
            <v>Hotel- und Kurbetriebe: Logiernächte im April 2023, nach Herkunft</v>
          </cell>
          <cell r="D114" t="str">
            <v>Manaschis d' hotel e da cura: pernottaziuns il avrigl 2023, tenor la derivanza</v>
          </cell>
          <cell r="E114" t="str">
            <v>Alberghi e stabilimenti di cura: pernottamenti nel mese di aprile 2023, per provenienza</v>
          </cell>
        </row>
        <row r="115">
          <cell r="B115" t="str">
            <v>&lt;T4Titel2&gt;</v>
          </cell>
          <cell r="C115" t="str">
            <v>Hotel- und Kurbetriebe: Logiernächte im April 2023, nach Destinationen</v>
          </cell>
          <cell r="D115" t="str">
            <v>Manaschis d' hotel e da cura: pernottaziuns il avrigl 2023, tenor destinaziuns</v>
          </cell>
          <cell r="E115" t="str">
            <v>Alberghi e stabilimenti di cura: pernottamenti nel mese di aprile 2023, per destinazione</v>
          </cell>
        </row>
        <row r="116">
          <cell r="B116" t="str">
            <v>&lt;T4Titel3&gt;</v>
          </cell>
          <cell r="C116" t="str">
            <v>Hotel- und Kurbetriebe: Logiernächte im April 2023, nach Schweizer Tourismusregionen</v>
          </cell>
          <cell r="D116" t="str">
            <v>Manaschis d' hotel e da cura: pernottaziuns il avrigl 2023, tenor regiuns turisticas svizras</v>
          </cell>
          <cell r="E116" t="str">
            <v>Alberghi e stabilimenti di cura: pernottamenti nel mese di aprile 2023, per regioni turistiche svizzere</v>
          </cell>
        </row>
        <row r="118">
          <cell r="B118" t="str">
            <v>&lt;T4SpaltenTitel_1&gt;</v>
          </cell>
          <cell r="C118" t="str">
            <v>April 2023</v>
          </cell>
          <cell r="D118" t="str">
            <v>Avrigl 2023</v>
          </cell>
          <cell r="E118" t="str">
            <v>Aprile 2023</v>
          </cell>
        </row>
        <row r="119">
          <cell r="B119" t="str">
            <v>&lt;T4SpaltenTitel_2&gt;</v>
          </cell>
          <cell r="C119" t="str">
            <v>April 2022</v>
          </cell>
          <cell r="D119" t="str">
            <v>Avrigl 2022</v>
          </cell>
          <cell r="E119" t="str">
            <v>Aprile 2022</v>
          </cell>
        </row>
        <row r="120">
          <cell r="B120" t="str">
            <v>&lt;T4SpaltenTitel_5&gt;</v>
          </cell>
          <cell r="C120" t="str">
            <v>Januar-April 23</v>
          </cell>
          <cell r="D120" t="str">
            <v>Schaner-avrigl 23</v>
          </cell>
          <cell r="E120" t="str">
            <v>Gennaio-aprile 23</v>
          </cell>
        </row>
        <row r="121">
          <cell r="B121" t="str">
            <v>&lt;T4SpaltenTitel_6&gt;</v>
          </cell>
          <cell r="C121" t="str">
            <v>Januar-April 22</v>
          </cell>
          <cell r="D121" t="str">
            <v>Schaner-avrigl 22</v>
          </cell>
          <cell r="E121" t="str">
            <v>Gennaio-aprile 22</v>
          </cell>
        </row>
        <row r="123">
          <cell r="B123" t="str">
            <v>&lt;T4Legende_3&gt;</v>
          </cell>
          <cell r="C123" t="str">
            <v>Daten des Mai 2023 erscheinen am 6. Juli 2023.</v>
          </cell>
          <cell r="D123" t="str">
            <v>Datas dal matg 2023 cumparan ils 6 da fanadur 2023.</v>
          </cell>
          <cell r="E123" t="str">
            <v>I dati del maggio 2023 saranno pubblicati il 6 luglio 2023.</v>
          </cell>
        </row>
        <row r="125">
          <cell r="B125" t="str">
            <v>&lt;T4Aktualisierung&gt;</v>
          </cell>
          <cell r="C125" t="str">
            <v>Letztmals aktualisiert am: 22.02.2024</v>
          </cell>
          <cell r="D125" t="str">
            <v>Ultima actualisaziun: 22.02.2024</v>
          </cell>
          <cell r="E125" t="str">
            <v>Ultimo aggiornamento: 22.02.2024</v>
          </cell>
        </row>
        <row r="128">
          <cell r="B128" t="str">
            <v>&lt;T5Titel1&gt;</v>
          </cell>
          <cell r="C128" t="str">
            <v>Hotel- und Kurbetriebe: Logiernächte im Mai 2023, nach Herkunft</v>
          </cell>
          <cell r="D128" t="str">
            <v>Manaschis d' hotel e da cura: pernottaziuns il matg 2023, tenor la derivanza</v>
          </cell>
          <cell r="E128" t="str">
            <v>Alberghi e stabilimenti di cura: pernottamenti nel mese di maggio 2023, per provenienza</v>
          </cell>
        </row>
        <row r="129">
          <cell r="B129" t="str">
            <v>&lt;T5Titel2&gt;</v>
          </cell>
          <cell r="C129" t="str">
            <v>Hotel- und Kurbetriebe: Logiernächte im Mai 2023, nach Destinationen</v>
          </cell>
          <cell r="D129" t="str">
            <v>Manaschis d' hotel e da cura: pernottaziuns il matg 2023, tenor destinaziuns</v>
          </cell>
          <cell r="E129" t="str">
            <v>Alberghi e stabilimenti di cura: pernottamenti nel mese di maggio 2023, per destinazione</v>
          </cell>
        </row>
        <row r="130">
          <cell r="B130" t="str">
            <v>&lt;T5Titel3&gt;</v>
          </cell>
          <cell r="C130" t="str">
            <v>Hotel- und Kurbetriebe: Logiernächte im Mai 2023, nach Schweizer Tourismusregionen</v>
          </cell>
          <cell r="D130" t="str">
            <v>Manaschis d' hotel e da cura: pernottaziuns il matg 2023, tenor regiuns turisticas svizras</v>
          </cell>
          <cell r="E130" t="str">
            <v>Alberghi e stabilimenti di cura: pernottamenti nel mese di maggio 2023, per regioni turistiche svizzere</v>
          </cell>
        </row>
        <row r="132">
          <cell r="B132" t="str">
            <v>&lt;T5SpaltenTitel_1&gt;</v>
          </cell>
          <cell r="C132" t="str">
            <v>Mai 2023</v>
          </cell>
          <cell r="D132" t="str">
            <v>Matg 2023</v>
          </cell>
          <cell r="E132" t="str">
            <v>Maggio 2023</v>
          </cell>
        </row>
        <row r="133">
          <cell r="B133" t="str">
            <v>&lt;T5SpaltenTitel_2&gt;</v>
          </cell>
          <cell r="C133" t="str">
            <v>Mai 2022</v>
          </cell>
          <cell r="D133" t="str">
            <v>Matg 2022</v>
          </cell>
          <cell r="E133" t="str">
            <v>Maggio 2022</v>
          </cell>
        </row>
        <row r="134">
          <cell r="B134" t="str">
            <v>&lt;T5SpaltenTitel_5&gt;</v>
          </cell>
          <cell r="C134" t="str">
            <v>Januar-Mai 23</v>
          </cell>
          <cell r="D134" t="str">
            <v>Schaner-matg 23</v>
          </cell>
          <cell r="E134" t="str">
            <v>Gennaio-maggio 23</v>
          </cell>
        </row>
        <row r="135">
          <cell r="B135" t="str">
            <v>&lt;T5SpaltenTitel_6&gt;</v>
          </cell>
          <cell r="C135" t="str">
            <v>Januar-Mai 22</v>
          </cell>
          <cell r="D135" t="str">
            <v>Schaner-matg 22</v>
          </cell>
          <cell r="E135" t="str">
            <v>Gennaio-maggio 22</v>
          </cell>
        </row>
        <row r="137">
          <cell r="B137" t="str">
            <v>&lt;T5Legende_3&gt;</v>
          </cell>
          <cell r="C137" t="str">
            <v>Daten des Juni 2023 erscheinen am 4. August 2023.</v>
          </cell>
          <cell r="D137" t="str">
            <v>Datas dal zercladur 2023 cumparan ils 4 da avust 2023.</v>
          </cell>
          <cell r="E137" t="str">
            <v>I dati del giugno 2023 saranno pubblicati il 4 agosto 2023.</v>
          </cell>
        </row>
        <row r="139">
          <cell r="B139" t="str">
            <v>&lt;T5Aktualisierung&gt;</v>
          </cell>
          <cell r="C139" t="str">
            <v>Letztmals aktualisiert am: 22.02.2024</v>
          </cell>
          <cell r="D139" t="str">
            <v>Ultima actualisaziun: 22.02.2024</v>
          </cell>
          <cell r="E139" t="str">
            <v>Ultimo aggiornamento: 22.02.2024</v>
          </cell>
        </row>
        <row r="142">
          <cell r="B142" t="str">
            <v>&lt;T6Titel1&gt;</v>
          </cell>
          <cell r="C142" t="str">
            <v>Hotel- und Kurbetriebe: Logiernächte im Juni 2023, nach Herkunft</v>
          </cell>
          <cell r="D142" t="str">
            <v>Manaschis d' hotel e da cura: pernottaziuns il zercladur 2023, tenor la derivanza</v>
          </cell>
          <cell r="E142" t="str">
            <v>Alberghi e stabilimenti di cura: pernottamenti nel mese di giugno 2023, per provenienza</v>
          </cell>
        </row>
        <row r="143">
          <cell r="B143" t="str">
            <v>&lt;T6Titel2&gt;</v>
          </cell>
          <cell r="C143" t="str">
            <v>Hotel- und Kurbetriebe: Logiernächte im Juni 2023, nach Destinationen</v>
          </cell>
          <cell r="D143" t="str">
            <v>Manaschis d' hotel e da cura: pernottaziuns il zercladur 2023, tenor destinaziuns</v>
          </cell>
          <cell r="E143" t="str">
            <v>Alberghi e stabilimenti di cura: pernottamenti nel mese di giugno 2023, per destinazione</v>
          </cell>
        </row>
        <row r="144">
          <cell r="B144" t="str">
            <v>&lt;T6Titel3&gt;</v>
          </cell>
          <cell r="C144" t="str">
            <v>Hotel- und Kurbetriebe: Logiernächte im Juni 2023, nach Schweizer Tourismusregionen</v>
          </cell>
          <cell r="D144" t="str">
            <v>Manaschis d' hotel e da cura: pernottaziuns il zercladur 2023, tenor regiuns turisticas svizras</v>
          </cell>
          <cell r="E144" t="str">
            <v>Alberghi e stabilimenti di cura: pernottamenti nel mese di giugno 2023, per regioni turistiche svizzere</v>
          </cell>
        </row>
        <row r="146">
          <cell r="B146" t="str">
            <v>&lt;T6SpaltenTitel_1&gt;</v>
          </cell>
          <cell r="C146" t="str">
            <v>Juni 2023</v>
          </cell>
          <cell r="D146" t="str">
            <v>Zercladur 2023</v>
          </cell>
          <cell r="E146" t="str">
            <v>Giugno 2023</v>
          </cell>
        </row>
        <row r="147">
          <cell r="B147" t="str">
            <v>&lt;T6SpaltenTitel_2&gt;</v>
          </cell>
          <cell r="C147" t="str">
            <v>Juni 2022</v>
          </cell>
          <cell r="D147" t="str">
            <v>Zercladur 2022</v>
          </cell>
          <cell r="E147" t="str">
            <v>Giugno 2022</v>
          </cell>
        </row>
        <row r="148">
          <cell r="B148" t="str">
            <v>&lt;T6SpaltenTitel_5&gt;</v>
          </cell>
          <cell r="C148" t="str">
            <v>Januar-Juni 23</v>
          </cell>
          <cell r="D148" t="str">
            <v>Schaner-zercladur 23</v>
          </cell>
          <cell r="E148" t="str">
            <v>Gennaio-giugno 23</v>
          </cell>
        </row>
        <row r="149">
          <cell r="B149" t="str">
            <v>&lt;T6SpaltenTitel_6&gt;</v>
          </cell>
          <cell r="C149" t="str">
            <v>Januar-Juni 22</v>
          </cell>
          <cell r="D149" t="str">
            <v>Schaner-zercladur 22</v>
          </cell>
          <cell r="E149" t="str">
            <v>Gennaio-giugno 22</v>
          </cell>
        </row>
        <row r="151">
          <cell r="B151" t="str">
            <v>&lt;T6Legende_3&gt;</v>
          </cell>
          <cell r="C151" t="str">
            <v>Daten des Juli 2023 erscheinen am 5. September 2023.</v>
          </cell>
          <cell r="D151" t="str">
            <v>Datas dal fanadur 2023 cumparan ils 5 da september 2023.</v>
          </cell>
          <cell r="E151" t="str">
            <v>I dati del luglio 2023 saranno pubblicati il 5 settembre 2023.</v>
          </cell>
        </row>
        <row r="153">
          <cell r="B153" t="str">
            <v>&lt;T6Aktualisierung&gt;</v>
          </cell>
          <cell r="C153" t="str">
            <v>Letztmals aktualisiert am: 22.02.2024</v>
          </cell>
          <cell r="D153" t="str">
            <v>Ultima actualisaziun: 22.02.2024</v>
          </cell>
          <cell r="E153" t="str">
            <v>Ultimo aggiornamento: 22.02.2024</v>
          </cell>
        </row>
        <row r="156">
          <cell r="B156" t="str">
            <v>&lt;T7Titel1&gt;</v>
          </cell>
          <cell r="C156" t="str">
            <v>Hotel- und Kurbetriebe: Logiernächte im Juli 2023, nach Herkunft</v>
          </cell>
          <cell r="D156" t="str">
            <v>Manaschis d' hotel e da cura: pernottaziuns il fanadur 2023, tenor la derivanza</v>
          </cell>
          <cell r="E156" t="str">
            <v>Alberghi e stabilimenti di cura: pernottamenti nel mese di luglio 2023, per provenienza</v>
          </cell>
        </row>
        <row r="157">
          <cell r="B157" t="str">
            <v>&lt;T7Titel2&gt;</v>
          </cell>
          <cell r="C157" t="str">
            <v>Hotel- und Kurbetriebe: Logiernächte im Juli 2023, nach Destinationen</v>
          </cell>
          <cell r="D157" t="str">
            <v>Manaschis d' hotel e da cura: pernottaziuns il fanadur 2023, tenor destinaziuns</v>
          </cell>
          <cell r="E157" t="str">
            <v>Alberghi e stabilimenti di cura: pernottamenti nel mese di luglio 2023, per destinazione</v>
          </cell>
        </row>
        <row r="158">
          <cell r="B158" t="str">
            <v>&lt;T7Titel3&gt;</v>
          </cell>
          <cell r="C158" t="str">
            <v>Hotel- und Kurbetriebe: Logiernächte im Juli 2023, nach Schweizer Tourismusregionen</v>
          </cell>
          <cell r="D158" t="str">
            <v>Manaschis d' hotel e da cura: pernottaziuns il fanadur 2023, tenor regiuns turisticas svizras</v>
          </cell>
          <cell r="E158" t="str">
            <v>Alberghi e stabilimenti di cura: pernottamenti nel mese di luglio 2023, per regioni turistiche svizzere</v>
          </cell>
        </row>
        <row r="160">
          <cell r="B160" t="str">
            <v>&lt;T7SpaltenTitel_1&gt;</v>
          </cell>
          <cell r="C160" t="str">
            <v>Juli 2023</v>
          </cell>
          <cell r="D160" t="str">
            <v>Fanadur 2023</v>
          </cell>
          <cell r="E160" t="str">
            <v>Luglio 2023</v>
          </cell>
        </row>
        <row r="161">
          <cell r="B161" t="str">
            <v>&lt;T7SpaltenTitel_2&gt;</v>
          </cell>
          <cell r="C161" t="str">
            <v>Juli 2022</v>
          </cell>
          <cell r="D161" t="str">
            <v>Fanadur 2022</v>
          </cell>
          <cell r="E161" t="str">
            <v>Luglio 2022</v>
          </cell>
        </row>
        <row r="162">
          <cell r="B162" t="str">
            <v>&lt;T7SpaltenTitel_5&gt;</v>
          </cell>
          <cell r="C162" t="str">
            <v>Januar-Juli 23</v>
          </cell>
          <cell r="D162" t="str">
            <v>Schaner-fanadur 23</v>
          </cell>
          <cell r="E162" t="str">
            <v>Gennaio-luglio 23</v>
          </cell>
        </row>
        <row r="163">
          <cell r="B163" t="str">
            <v>&lt;T7SpaltenTitel_6&gt;</v>
          </cell>
          <cell r="C163" t="str">
            <v>Januar-Juli 22</v>
          </cell>
          <cell r="D163" t="str">
            <v>Schaner-fanadur 22</v>
          </cell>
          <cell r="E163" t="str">
            <v>Gennaio-luglio 22</v>
          </cell>
        </row>
        <row r="165">
          <cell r="B165" t="str">
            <v>&lt;T7Legende_3&gt;</v>
          </cell>
          <cell r="C165" t="str">
            <v>Daten des August 2023 erscheinen am 5. Oktober 2023.</v>
          </cell>
          <cell r="D165" t="str">
            <v>Datas dal avust 2023 cumparan ils 5 da october 2023.</v>
          </cell>
          <cell r="E165" t="str">
            <v>I dati del agosto 2023 saranno pubblicati il 5 ottobre 2023.</v>
          </cell>
        </row>
        <row r="167">
          <cell r="B167" t="str">
            <v>&lt;T7Aktualisierung&gt;</v>
          </cell>
          <cell r="C167" t="str">
            <v>Letztmals aktualisiert am: 22.02.2024</v>
          </cell>
          <cell r="D167" t="str">
            <v>Ultima actualisaziun: 22.02.2024</v>
          </cell>
          <cell r="E167" t="str">
            <v>Ultimo aggiornamento: 22.02.2024</v>
          </cell>
        </row>
        <row r="170">
          <cell r="B170" t="str">
            <v>&lt;T8Titel1&gt;</v>
          </cell>
          <cell r="C170" t="str">
            <v>Hotel- und Kurbetriebe: Logiernächte im August 2023, nach Herkunft</v>
          </cell>
          <cell r="D170" t="str">
            <v>Manaschis d' hotel e da cura: pernottaziuns il avust 2023, tenor la derivanza</v>
          </cell>
          <cell r="E170" t="str">
            <v>Alberghi e stabilimenti di cura: pernottamenti nel mese di agosto 2023, per provenienza</v>
          </cell>
        </row>
        <row r="171">
          <cell r="B171" t="str">
            <v>&lt;T8Titel2&gt;</v>
          </cell>
          <cell r="C171" t="str">
            <v>Hotel- und Kurbetriebe: Logiernächte im August 2023, nach Destinationen</v>
          </cell>
          <cell r="D171" t="str">
            <v>Manaschis d' hotel e da cura: pernottaziuns il avust 2023, tenor destinaziuns</v>
          </cell>
          <cell r="E171" t="str">
            <v>Alberghi e stabilimenti di cura: pernottamenti nel mese di agosto 2023, per destinazione</v>
          </cell>
        </row>
        <row r="172">
          <cell r="B172" t="str">
            <v>&lt;T8Titel3&gt;</v>
          </cell>
          <cell r="C172" t="str">
            <v>Hotel- und Kurbetriebe: Logiernächte im August 2023, nach Schweizer Tourismusregionen</v>
          </cell>
          <cell r="D172" t="str">
            <v>Manaschis d' hotel e da cura: pernottaziuns il avust 2023, tenor regiuns turisticas svizras</v>
          </cell>
          <cell r="E172" t="str">
            <v>Alberghi e stabilimenti di cura: pernottamenti nel mese di agosto 2023, per regioni turistiche svizzere</v>
          </cell>
        </row>
        <row r="174">
          <cell r="B174" t="str">
            <v>&lt;T8SpaltenTitel_1&gt;</v>
          </cell>
          <cell r="C174" t="str">
            <v>August 2023</v>
          </cell>
          <cell r="D174" t="str">
            <v>Avust 2023</v>
          </cell>
          <cell r="E174" t="str">
            <v>Agosto 2023</v>
          </cell>
        </row>
        <row r="175">
          <cell r="B175" t="str">
            <v>&lt;T8SpaltenTitel_2&gt;</v>
          </cell>
          <cell r="C175" t="str">
            <v>August 2022</v>
          </cell>
          <cell r="D175" t="str">
            <v>Avust 2022</v>
          </cell>
          <cell r="E175" t="str">
            <v>Agosto 2022</v>
          </cell>
        </row>
        <row r="176">
          <cell r="B176" t="str">
            <v>&lt;T8SpaltenTitel_5&gt;</v>
          </cell>
          <cell r="C176" t="str">
            <v>Januar-August 23</v>
          </cell>
          <cell r="D176" t="str">
            <v>Schaner-avust 23</v>
          </cell>
          <cell r="E176" t="str">
            <v>Gennaio-agosto 23</v>
          </cell>
        </row>
        <row r="177">
          <cell r="B177" t="str">
            <v>&lt;T8SpaltenTitel_6&gt;</v>
          </cell>
          <cell r="C177" t="str">
            <v>Januar-August 22</v>
          </cell>
          <cell r="D177" t="str">
            <v>Schaner-avust 22</v>
          </cell>
          <cell r="E177" t="str">
            <v>Gennaio-agosto 22</v>
          </cell>
        </row>
        <row r="179">
          <cell r="B179" t="str">
            <v>&lt;T8Legende_3&gt;</v>
          </cell>
          <cell r="C179" t="str">
            <v>Daten des September 2023 erscheinen am 3. November 2023.</v>
          </cell>
          <cell r="D179" t="str">
            <v>Datas dal september 2023 cumparan ils 3 da november 2023.</v>
          </cell>
          <cell r="E179" t="str">
            <v>I dati del settembre 2023 saranno pubblicati il 3 novembre 2023.</v>
          </cell>
        </row>
        <row r="181">
          <cell r="B181" t="str">
            <v>&lt;T8Aktualisierung&gt;</v>
          </cell>
          <cell r="C181" t="str">
            <v>Letztmals aktualisiert am: 22.02.2024</v>
          </cell>
          <cell r="D181" t="str">
            <v>Ultima actualisaziun: 22.02.2024</v>
          </cell>
          <cell r="E181" t="str">
            <v>Ultimo aggiornamento: 22.02.2024</v>
          </cell>
        </row>
        <row r="184">
          <cell r="B184" t="str">
            <v>&lt;T9Titel1&gt;</v>
          </cell>
          <cell r="C184" t="str">
            <v>Hotel- und Kurbetriebe: Logiernächte im September 2023, nach Herkunft</v>
          </cell>
          <cell r="D184" t="str">
            <v>Manaschis d' hotel e da cura: pernottaziuns il september 2023, tenor la derivanza</v>
          </cell>
          <cell r="E184" t="str">
            <v>Alberghi e stabilimenti di cura: pernottamenti nel mese di settembre 2023, per provenienza</v>
          </cell>
        </row>
        <row r="185">
          <cell r="B185" t="str">
            <v>&lt;T9Titel2&gt;</v>
          </cell>
          <cell r="C185" t="str">
            <v>Hotel- und Kurbetriebe: Logiernächte im September 2023, nach Destinationen</v>
          </cell>
          <cell r="D185" t="str">
            <v>Manaschis d' hotel e da cura: pernottaziuns il september 2023, tenor destinaziuns</v>
          </cell>
          <cell r="E185" t="str">
            <v>Alberghi e stabilimenti di cura: pernottamenti nel mese di settembre 2023, per destinazione</v>
          </cell>
        </row>
        <row r="186">
          <cell r="B186" t="str">
            <v>&lt;T9Titel3&gt;</v>
          </cell>
          <cell r="C186" t="str">
            <v>Hotel- und Kurbetriebe: Logiernächte im September 2023, nach Schweizer Tourismusregionen</v>
          </cell>
          <cell r="D186" t="str">
            <v>Manaschis d' hotel e da cura: pernottaziuns il september 2023, tenor regiuns turisticas svizras</v>
          </cell>
          <cell r="E186" t="str">
            <v>Alberghi e stabilimenti di cura: pernottamenti nel mese di settembre 2023, per regioni turistiche svizzere</v>
          </cell>
        </row>
        <row r="188">
          <cell r="B188" t="str">
            <v>&lt;T9SpaltenTitel_1&gt;</v>
          </cell>
          <cell r="C188" t="str">
            <v>September 2023</v>
          </cell>
          <cell r="D188" t="str">
            <v>September 2023</v>
          </cell>
          <cell r="E188" t="str">
            <v>Settembre 2023</v>
          </cell>
        </row>
        <row r="189">
          <cell r="B189" t="str">
            <v>&lt;T9SpaltenTitel_2&gt;</v>
          </cell>
          <cell r="C189" t="str">
            <v>September 2022</v>
          </cell>
          <cell r="D189" t="str">
            <v>September 2022</v>
          </cell>
          <cell r="E189" t="str">
            <v>Settembre 2022</v>
          </cell>
        </row>
        <row r="190">
          <cell r="B190" t="str">
            <v>&lt;T9SpaltenTitel_5&gt;</v>
          </cell>
          <cell r="C190" t="str">
            <v>Januar-September 23</v>
          </cell>
          <cell r="D190" t="str">
            <v>Schaner-september 23</v>
          </cell>
          <cell r="E190" t="str">
            <v>Gennaio-settembre 23</v>
          </cell>
        </row>
        <row r="191">
          <cell r="B191" t="str">
            <v>&lt;T9SpaltenTitel_6&gt;</v>
          </cell>
          <cell r="C191" t="str">
            <v>Januar-September 22</v>
          </cell>
          <cell r="D191" t="str">
            <v>Schaner-september 22</v>
          </cell>
          <cell r="E191" t="str">
            <v>Gennaio-settembre 22</v>
          </cell>
        </row>
        <row r="193">
          <cell r="B193" t="str">
            <v>&lt;T9Legende_3&gt;</v>
          </cell>
          <cell r="C193" t="str">
            <v>Daten des Oktober 2023 erscheinen am 5. Dezember 2023.</v>
          </cell>
          <cell r="D193" t="str">
            <v>Datas dal oktober 2023 cumparan ils 5 da dezember 2023.</v>
          </cell>
          <cell r="E193" t="str">
            <v>I dati del ottobre 2023 saranno pubblicati il 5 dicembre 2023.</v>
          </cell>
        </row>
        <row r="195">
          <cell r="B195" t="str">
            <v>&lt;T9Aktualisierung&gt;</v>
          </cell>
          <cell r="C195" t="str">
            <v>Letztmals aktualisiert am: 22.02.2024</v>
          </cell>
          <cell r="D195" t="str">
            <v>Ultima actualisaziun: 22.02.2024</v>
          </cell>
          <cell r="E195" t="str">
            <v>Ultimo aggiornamento: 22.02.2024</v>
          </cell>
        </row>
        <row r="198">
          <cell r="B198" t="str">
            <v>&lt;T10Titel1&gt;</v>
          </cell>
          <cell r="C198" t="str">
            <v>Hotel- und Kurbetriebe: Logiernächte im Oktober 2023, nach Herkunft</v>
          </cell>
          <cell r="D198" t="str">
            <v>Manaschis d' hotel e da cura: pernottaziuns il oktober 2023, tenor la derivanza</v>
          </cell>
          <cell r="E198" t="str">
            <v>Alberghi e stabilimenti di cura: pernottamenti nel mese di ottobre 2023, per provenienza</v>
          </cell>
        </row>
        <row r="199">
          <cell r="B199" t="str">
            <v>&lt;T10Titel2&gt;</v>
          </cell>
          <cell r="C199" t="str">
            <v>Hotel- und Kurbetriebe: Logiernächte im Oktober 2023, nach Destinationen</v>
          </cell>
          <cell r="D199" t="str">
            <v>Manaschis d' hotel e da cura: pernottaziuns il oktober 2023, tenor destinaziuns</v>
          </cell>
          <cell r="E199" t="str">
            <v>Alberghi e stabilimenti di cura: pernottamenti nel mese di ottobre 2023, per destinazione</v>
          </cell>
        </row>
        <row r="200">
          <cell r="B200" t="str">
            <v>&lt;T10Titel3&gt;</v>
          </cell>
          <cell r="C200" t="str">
            <v>Hotel- und Kurbetriebe: Logiernächte im Oktober 2023, nach Schweizer Tourismusregionen</v>
          </cell>
          <cell r="D200" t="str">
            <v>Manaschis d' hotel e da cura: pernottaziuns il oktober 2023, tenor regiuns turisticas svizras</v>
          </cell>
          <cell r="E200" t="str">
            <v>Alberghi e stabilimenti di cura: pernottamenti nel mese di ottobre 2023, per regioni turistiche svizzere</v>
          </cell>
        </row>
        <row r="202">
          <cell r="B202" t="str">
            <v>&lt;T10SpaltenTitel_1&gt;</v>
          </cell>
          <cell r="C202" t="str">
            <v>Oktober 2023</v>
          </cell>
          <cell r="D202" t="str">
            <v>Oktober 2023</v>
          </cell>
          <cell r="E202" t="str">
            <v>Ottobre 2023</v>
          </cell>
        </row>
        <row r="203">
          <cell r="B203" t="str">
            <v>&lt;T10SpaltenTitel_2&gt;</v>
          </cell>
          <cell r="C203" t="str">
            <v>Oktober 2022</v>
          </cell>
          <cell r="D203" t="str">
            <v>Oktober 2022</v>
          </cell>
          <cell r="E203" t="str">
            <v>Ottobre 2022</v>
          </cell>
        </row>
        <row r="204">
          <cell r="B204" t="str">
            <v>&lt;T10SpaltenTitel_5&gt;</v>
          </cell>
          <cell r="C204" t="str">
            <v>Januar-Oktober 23</v>
          </cell>
          <cell r="D204" t="str">
            <v>Schaner-oktober 23</v>
          </cell>
          <cell r="E204" t="str">
            <v>Gennaio-ottobre 23</v>
          </cell>
        </row>
        <row r="205">
          <cell r="B205" t="str">
            <v>&lt;T10SpaltenTitel_6&gt;</v>
          </cell>
          <cell r="C205" t="str">
            <v>Januar-Oktober 22</v>
          </cell>
          <cell r="D205" t="str">
            <v>Schaner-oktober 22</v>
          </cell>
          <cell r="E205" t="str">
            <v>Gennaio-ottobre 22</v>
          </cell>
        </row>
        <row r="207">
          <cell r="B207" t="str">
            <v>&lt;T10Legende_3&gt;</v>
          </cell>
          <cell r="C207" t="str">
            <v>Daten des November 2023 erscheinen am 16. Januar 2024.</v>
          </cell>
          <cell r="D207" t="str">
            <v>Datas dal november 2023 cumparan ils 16 da schaner 2024.</v>
          </cell>
          <cell r="E207" t="str">
            <v>I dati del novembere 2023 saranno pubblicati il 16 gennaio 2024.</v>
          </cell>
        </row>
        <row r="209">
          <cell r="B209" t="str">
            <v>&lt;T10Aktualisierung&gt;</v>
          </cell>
          <cell r="C209" t="str">
            <v>Letztmals aktualisiert am: 22.02.2024</v>
          </cell>
          <cell r="D209" t="str">
            <v>Ultima actualisaziun: 22.02.2024</v>
          </cell>
          <cell r="E209" t="str">
            <v>Ultimo aggiornamento: 22.02.2024</v>
          </cell>
        </row>
        <row r="212">
          <cell r="B212" t="str">
            <v>&lt;T11Titel1&gt;</v>
          </cell>
          <cell r="C212" t="str">
            <v>Hotel- und Kurbetriebe: Logiernächte im November 2023, nach Herkunft</v>
          </cell>
          <cell r="D212" t="str">
            <v>Manaschis d' hotel e da cura: pernottaziuns il november 2023, tenor la derivanza</v>
          </cell>
          <cell r="E212" t="str">
            <v>Alberghi e stabilimenti di cura: pernottamenti nel mese di novembre 2023, per provenienza</v>
          </cell>
        </row>
        <row r="213">
          <cell r="B213" t="str">
            <v>&lt;T11Titel2&gt;</v>
          </cell>
          <cell r="C213" t="str">
            <v>Hotel- und Kurbetriebe: Logiernächte im November 2023, nach Destinationen</v>
          </cell>
          <cell r="D213" t="str">
            <v>Manaschis d' hotel e da cura: pernottaziuns il november 2023, tenor destinaziuns</v>
          </cell>
          <cell r="E213" t="str">
            <v>Alberghi e stabilimenti di cura: pernottamenti nel mese di novembre 2023, per destinazione</v>
          </cell>
        </row>
        <row r="214">
          <cell r="B214" t="str">
            <v>&lt;T11Titel3&gt;</v>
          </cell>
          <cell r="C214" t="str">
            <v>Hotel- und Kurbetriebe: Logiernächte im November 2023, nach Schweizer Tourismusregionen</v>
          </cell>
          <cell r="D214" t="str">
            <v>Manaschis d' hotel e da cura: pernottaziuns il november 2023, tenor regiuns turisticas svizras</v>
          </cell>
          <cell r="E214" t="str">
            <v>Alberghi e stabilimenti di cura: pernottamenti nel mese di novembre 2023, per regioni turistiche svizzere</v>
          </cell>
        </row>
        <row r="216">
          <cell r="B216" t="str">
            <v>&lt;T11SpaltenTitel_1&gt;</v>
          </cell>
          <cell r="C216" t="str">
            <v>November 2023</v>
          </cell>
          <cell r="D216" t="str">
            <v>November 2023</v>
          </cell>
          <cell r="E216" t="str">
            <v>Novembre 2023</v>
          </cell>
        </row>
        <row r="217">
          <cell r="B217" t="str">
            <v>&lt;T11SpaltenTitel_2&gt;</v>
          </cell>
          <cell r="C217" t="str">
            <v>November 2022</v>
          </cell>
          <cell r="D217" t="str">
            <v>November 2022</v>
          </cell>
          <cell r="E217" t="str">
            <v>Novembre 2022</v>
          </cell>
        </row>
        <row r="218">
          <cell r="B218" t="str">
            <v>&lt;T11SpaltenTitel_5&gt;</v>
          </cell>
          <cell r="C218" t="str">
            <v>Januar-November 23</v>
          </cell>
          <cell r="D218" t="str">
            <v>Schaner-november 23</v>
          </cell>
          <cell r="E218" t="str">
            <v>Gennaio-novembre 23</v>
          </cell>
        </row>
        <row r="219">
          <cell r="B219" t="str">
            <v>&lt;T11SpaltenTitel_6&gt;</v>
          </cell>
          <cell r="C219" t="str">
            <v>Januar-November 22</v>
          </cell>
          <cell r="D219" t="str">
            <v>Schaner-november 22</v>
          </cell>
          <cell r="E219" t="str">
            <v>Gennaio-novembre 22</v>
          </cell>
        </row>
        <row r="221">
          <cell r="B221" t="str">
            <v>&lt;T11Legende_3&gt;</v>
          </cell>
          <cell r="C221" t="str">
            <v>Daten des Dezember 2023 erscheinen am 22. Februar 2024.</v>
          </cell>
          <cell r="D221" t="str">
            <v>Datas dal dezember 2023 cumparan ils 22 da fevrer 2024.</v>
          </cell>
          <cell r="E221" t="str">
            <v>I dati del dicembre 2023 saranno pubblicati il 22 febbraio 2024.</v>
          </cell>
        </row>
        <row r="223">
          <cell r="B223" t="str">
            <v>&lt;T11Aktualisierung&gt;</v>
          </cell>
          <cell r="C223" t="str">
            <v>Letztmals aktualisiert am: 22.02.2024</v>
          </cell>
          <cell r="D223" t="str">
            <v>Ultima actualisaziun: 22.02.2024</v>
          </cell>
          <cell r="E223" t="str">
            <v>Ultimo aggiornamento: 22.02.2024</v>
          </cell>
        </row>
        <row r="226">
          <cell r="B226" t="str">
            <v>&lt;T12Titel1&gt;</v>
          </cell>
          <cell r="C226" t="str">
            <v>Hotel- und Kurbetriebe: Logiernächte im Dezember 2023, nach Herkunft</v>
          </cell>
          <cell r="D226" t="str">
            <v>Manaschis d' hotel e da cura: pernottaziuns il dezember 2023, tenor la derivanza</v>
          </cell>
          <cell r="E226" t="str">
            <v>Alberghi e stabilimenti di cura: pernottamenti nel mese di dicembre 2023, per provenienza</v>
          </cell>
        </row>
        <row r="227">
          <cell r="B227" t="str">
            <v>&lt;T12Titel2&gt;</v>
          </cell>
          <cell r="C227" t="str">
            <v>Hotel- und Kurbetriebe: Logiernächte im Dezember 2023, nach Destinationen</v>
          </cell>
          <cell r="D227" t="str">
            <v>Manaschis d' hotel e da cura: pernottaziuns il dezember 2023, tenor destinaziuns</v>
          </cell>
          <cell r="E227" t="str">
            <v>Alberghi e stabilimenti di cura: pernottamenti nel mese di dicembre 2023, per destinazione</v>
          </cell>
        </row>
        <row r="228">
          <cell r="B228" t="str">
            <v>&lt;T12Titel3&gt;</v>
          </cell>
          <cell r="C228" t="str">
            <v>Hotel- und Kurbetriebe: Logiernächte im Dezember 2023, nach Schweizer Tourismusregionen</v>
          </cell>
          <cell r="D228" t="str">
            <v>Manaschis d' hotel e da cura: pernottaziuns il dezember 2023, tenor regiuns turisticas svizras</v>
          </cell>
          <cell r="E228" t="str">
            <v>Alberghi e stabilimenti di cura: pernottamenti nel mese di dicembre 2023, per regioni turistiche svizzere</v>
          </cell>
        </row>
        <row r="230">
          <cell r="B230" t="str">
            <v>&lt;T12SpaltenTitel_1&gt;</v>
          </cell>
          <cell r="C230" t="str">
            <v>Dezember 2023</v>
          </cell>
          <cell r="D230" t="str">
            <v>Dezember 2023</v>
          </cell>
          <cell r="E230" t="str">
            <v>Dicembre 2023</v>
          </cell>
        </row>
        <row r="231">
          <cell r="B231" t="str">
            <v>&lt;T12SpaltenTitel_2&gt;</v>
          </cell>
          <cell r="C231" t="str">
            <v>Dezember 2022</v>
          </cell>
          <cell r="D231" t="str">
            <v>Dezember 2022</v>
          </cell>
          <cell r="E231" t="str">
            <v>Dicembre 2022</v>
          </cell>
        </row>
        <row r="232">
          <cell r="B232" t="str">
            <v>&lt;T12SpaltenTitel_5&gt;</v>
          </cell>
          <cell r="C232" t="str">
            <v>Januar-Dezember 23</v>
          </cell>
          <cell r="D232" t="str">
            <v>Schaner-dezember 23</v>
          </cell>
          <cell r="E232" t="str">
            <v>Gennaio-dicembre 23</v>
          </cell>
        </row>
        <row r="233">
          <cell r="B233" t="str">
            <v>&lt;T12SpaltenTitel_6&gt;</v>
          </cell>
          <cell r="C233" t="str">
            <v>Januar-Dezember 22</v>
          </cell>
          <cell r="D233" t="str">
            <v>Schaner-dezember 22</v>
          </cell>
          <cell r="E233" t="str">
            <v>Gennaio-dicembre 22</v>
          </cell>
        </row>
        <row r="235">
          <cell r="B235" t="str">
            <v>&lt;T12Legende_3&gt;</v>
          </cell>
          <cell r="C235" t="str">
            <v>Daten des Januar 2024 erscheinen am 7. März 2024.</v>
          </cell>
          <cell r="D235" t="str">
            <v>Datas dal schaner 2024 cumparan ils 7 da marz 2024.</v>
          </cell>
          <cell r="E235" t="str">
            <v>I dati del gennaio 2024 saranno pubblicati il 7 marzo 2024.</v>
          </cell>
        </row>
        <row r="237">
          <cell r="B237" t="str">
            <v>&lt;T12Aktualisierung&gt;</v>
          </cell>
          <cell r="C237" t="str">
            <v>Letztmals aktualisiert am: 22.02.2024</v>
          </cell>
          <cell r="D237" t="str">
            <v>Ultima actualisaziun: 22.02.2024</v>
          </cell>
          <cell r="E237" t="str">
            <v>Ultimo aggiornamento: 22.02.2024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.ch/DE/institutionen/verwaltung/dvs/awt/statistik/Grundlagen_und_Uebersichten/Seiten/Gliederungen.aspx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0E73B-FB48-4C6C-8337-AE83AA970822}">
  <dimension ref="A1:J90"/>
  <sheetViews>
    <sheetView tabSelected="1" topLeftCell="A69" workbookViewId="0">
      <selection activeCell="L12" sqref="L12"/>
    </sheetView>
  </sheetViews>
  <sheetFormatPr baseColWidth="10" defaultColWidth="11.42578125" defaultRowHeight="15" x14ac:dyDescent="0.25"/>
  <cols>
    <col min="1" max="1" width="12.140625" style="3" customWidth="1"/>
    <col min="2" max="2" width="22.42578125" style="3" customWidth="1"/>
    <col min="3" max="10" width="13.42578125" style="3" customWidth="1"/>
    <col min="11" max="16384" width="11.42578125" style="3"/>
  </cols>
  <sheetData>
    <row r="1" spans="1:10" s="1" customFormat="1" ht="12.75" x14ac:dyDescent="0.2"/>
    <row r="2" spans="1:10" s="1" customFormat="1" ht="15.75" x14ac:dyDescent="0.25">
      <c r="B2" s="2"/>
      <c r="C2" s="3"/>
      <c r="D2" s="3"/>
    </row>
    <row r="3" spans="1:10" s="1" customFormat="1" ht="15.75" x14ac:dyDescent="0.25">
      <c r="B3" s="2"/>
      <c r="C3" s="3"/>
      <c r="D3" s="3"/>
    </row>
    <row r="4" spans="1:10" s="1" customFormat="1" ht="15.75" x14ac:dyDescent="0.25">
      <c r="B4" s="2"/>
      <c r="C4" s="3"/>
      <c r="D4" s="3"/>
    </row>
    <row r="5" spans="1:10" s="1" customFormat="1" ht="12.75" x14ac:dyDescent="0.2"/>
    <row r="6" spans="1:10" s="1" customFormat="1" ht="12.75" x14ac:dyDescent="0.2"/>
    <row r="7" spans="1:10" ht="15.75" customHeight="1" x14ac:dyDescent="0.25">
      <c r="A7" s="4" t="str">
        <f>VLOOKUP("&lt;Fachbereich&gt;",[1]Uebersetzungen!$B$4:$E$303,[1]Uebersetzungen!$B$2+1,FALSE)</f>
        <v>Daten &amp; Statistik</v>
      </c>
      <c r="B7" s="4"/>
      <c r="C7" s="4"/>
      <c r="D7" s="4"/>
      <c r="E7" s="5"/>
      <c r="F7" s="6"/>
    </row>
    <row r="8" spans="1:10" ht="10.5" customHeight="1" x14ac:dyDescent="0.25"/>
    <row r="9" spans="1:10" ht="18" x14ac:dyDescent="0.25">
      <c r="A9" s="7" t="str">
        <f>VLOOKUP("&lt;T12Titel1&gt;",[1]Uebersetzungen!$B$4:$E$303,[1]Uebersetzungen!$B$2+1,FALSE)</f>
        <v>Hotel- und Kurbetriebe: Logiernächte im Dezember 2023, nach Herkunft</v>
      </c>
      <c r="B9" s="8"/>
      <c r="C9" s="8"/>
      <c r="D9" s="8"/>
      <c r="E9" s="8"/>
      <c r="F9" s="8"/>
    </row>
    <row r="10" spans="1:10" s="12" customFormat="1" ht="12.75" x14ac:dyDescent="0.2">
      <c r="A10" s="9" t="str">
        <f>VLOOKUP("&lt;Titelprov&gt;",[1]Uebersetzungen!$B$4:$E$303,[1]Uebersetzungen!$B$2+1,FALSE)</f>
        <v>definitive Ergebnisse</v>
      </c>
      <c r="B10" s="10"/>
      <c r="C10" s="11"/>
      <c r="D10" s="11"/>
      <c r="E10" s="11"/>
      <c r="F10" s="11"/>
      <c r="G10" s="11"/>
    </row>
    <row r="11" spans="1:10" ht="15.75" thickBot="1" x14ac:dyDescent="0.3"/>
    <row r="12" spans="1:10" ht="60" x14ac:dyDescent="0.25">
      <c r="A12" s="13"/>
      <c r="B12" s="14"/>
      <c r="C12" s="15" t="str">
        <f>VLOOKUP("&lt;T12SpaltenTitel_1&gt;",[1]Uebersetzungen!$B$4:$E$303,[1]Uebersetzungen!$B$2+1,FALSE)</f>
        <v>Dezember 2023</v>
      </c>
      <c r="D12" s="16" t="str">
        <f>VLOOKUP("&lt;T12SpaltenTitel_2&gt;",[1]Uebersetzungen!$B$4:$E$303,[1]Uebersetzungen!$B$2+1,FALSE)</f>
        <v>Dezember 2022</v>
      </c>
      <c r="E12" s="17" t="str">
        <f>VLOOKUP("&lt;SpaltenTitel_3&gt;",[1]Uebersetzungen!$B$4:$E$303,[1]Uebersetzungen!$B$2+1,FALSE)</f>
        <v>Veränderung 23/22 in %</v>
      </c>
      <c r="F12" s="17" t="str">
        <f>VLOOKUP("&lt;SpaltenTitel_4&gt;",[1]Uebersetzungen!$B$4:$E$303,[1]Uebersetzungen!$B$2+1,FALSE)</f>
        <v>Veränderung zum
5-Jahresmittel 
in %</v>
      </c>
      <c r="G12" s="18" t="str">
        <f>VLOOKUP("&lt;T12SpaltenTitel_5&gt;",[1]Uebersetzungen!$B$4:$E$303,[1]Uebersetzungen!$B$2+1,FALSE)</f>
        <v>Januar-Dezember 23</v>
      </c>
      <c r="H12" s="17" t="str">
        <f>VLOOKUP("&lt;T12SpaltenTitel_6&gt;",[1]Uebersetzungen!$B$4:$E$303,[1]Uebersetzungen!$B$2+1,FALSE)</f>
        <v>Januar-Dezember 22</v>
      </c>
      <c r="I12" s="17" t="str">
        <f>VLOOKUP("&lt;SpaltenTitel_7&gt;",[1]Uebersetzungen!$B$4:$E$303,[1]Uebersetzungen!$B$2+1,FALSE)</f>
        <v>Veränderung 23/22 in %</v>
      </c>
      <c r="J12" s="19" t="str">
        <f>VLOOKUP("&lt;SpaltenTitel_8&gt;",[1]Uebersetzungen!$B$4:$E$303,[1]Uebersetzungen!$B$2+1,FALSE)</f>
        <v>Veränderung zum
5-Jahresmittel 
in %</v>
      </c>
    </row>
    <row r="13" spans="1:10" x14ac:dyDescent="0.25">
      <c r="A13" s="20" t="str">
        <f>VLOOKUP("&lt;Zeilentitel_1&gt;",[1]Uebersetzungen!$B$4:$E$77,[1]Uebersetzungen!$B$2+1,FALSE)</f>
        <v>Schweiz</v>
      </c>
      <c r="B13" s="21"/>
      <c r="C13" s="22">
        <v>317829</v>
      </c>
      <c r="D13" s="23">
        <v>311387</v>
      </c>
      <c r="E13" s="24">
        <f t="shared" ref="E13:E36" si="0">C13/D13-1</f>
        <v>2.0688082675256236E-2</v>
      </c>
      <c r="F13" s="25">
        <v>1.846724731306848E-2</v>
      </c>
      <c r="G13" s="26">
        <v>3508516</v>
      </c>
      <c r="H13" s="23">
        <v>3742997</v>
      </c>
      <c r="I13" s="24">
        <f t="shared" ref="I13:I36" si="1">G13/H13-1</f>
        <v>-6.2645254591440991E-2</v>
      </c>
      <c r="J13" s="27">
        <v>-9.3201694321619621E-3</v>
      </c>
    </row>
    <row r="14" spans="1:10" x14ac:dyDescent="0.25">
      <c r="A14" s="20" t="str">
        <f>VLOOKUP("&lt;Zeilentitel_2&gt;",[1]Uebersetzungen!$B$4:$E$77,[1]Uebersetzungen!$B$2+1,FALSE)</f>
        <v>Deutschland</v>
      </c>
      <c r="B14" s="21"/>
      <c r="C14" s="22">
        <v>82357</v>
      </c>
      <c r="D14" s="23">
        <v>83810</v>
      </c>
      <c r="E14" s="24">
        <f t="shared" si="0"/>
        <v>-1.7336833313447042E-2</v>
      </c>
      <c r="F14" s="25">
        <v>0.10822696066162329</v>
      </c>
      <c r="G14" s="26">
        <v>744436</v>
      </c>
      <c r="H14" s="23">
        <v>746525</v>
      </c>
      <c r="I14" s="24">
        <f t="shared" si="1"/>
        <v>-2.7982987843675478E-3</v>
      </c>
      <c r="J14" s="27">
        <v>6.0326588725131414E-2</v>
      </c>
    </row>
    <row r="15" spans="1:10" x14ac:dyDescent="0.25">
      <c r="A15" s="20" t="str">
        <f>VLOOKUP("&lt;Zeilentitel_3&gt;",[1]Uebersetzungen!$B$4:$E$77,[1]Uebersetzungen!$B$2+1,FALSE)</f>
        <v>Italien</v>
      </c>
      <c r="B15" s="21"/>
      <c r="C15" s="22">
        <v>16993</v>
      </c>
      <c r="D15" s="23">
        <v>16394</v>
      </c>
      <c r="E15" s="24">
        <f t="shared" si="0"/>
        <v>3.6537757716237573E-2</v>
      </c>
      <c r="F15" s="25">
        <v>0.41175395453941266</v>
      </c>
      <c r="G15" s="26">
        <v>100999</v>
      </c>
      <c r="H15" s="23">
        <v>98060</v>
      </c>
      <c r="I15" s="24">
        <f t="shared" si="1"/>
        <v>2.9971446053436601E-2</v>
      </c>
      <c r="J15" s="27">
        <v>0.20546019196845244</v>
      </c>
    </row>
    <row r="16" spans="1:10" x14ac:dyDescent="0.25">
      <c r="A16" s="20" t="str">
        <f>VLOOKUP("&lt;Zeilentitel_4&gt;",[1]Uebersetzungen!$B$4:$E$77,[1]Uebersetzungen!$B$2+1,FALSE)</f>
        <v>Frankreich</v>
      </c>
      <c r="B16" s="21"/>
      <c r="C16" s="22">
        <v>5229</v>
      </c>
      <c r="D16" s="23">
        <v>5714</v>
      </c>
      <c r="E16" s="24">
        <f t="shared" si="0"/>
        <v>-8.4879243962198148E-2</v>
      </c>
      <c r="F16" s="25">
        <v>1.6366039496190199E-2</v>
      </c>
      <c r="G16" s="26">
        <v>54454</v>
      </c>
      <c r="H16" s="23">
        <v>55750</v>
      </c>
      <c r="I16" s="24">
        <f t="shared" si="1"/>
        <v>-2.3246636771300455E-2</v>
      </c>
      <c r="J16" s="27">
        <v>0.10286135549830688</v>
      </c>
    </row>
    <row r="17" spans="1:10" x14ac:dyDescent="0.25">
      <c r="A17" s="20" t="str">
        <f>VLOOKUP("&lt;Zeilentitel_5&gt;",[1]Uebersetzungen!$B$4:$E$77,[1]Uebersetzungen!$B$2+1,FALSE)</f>
        <v>Österreich</v>
      </c>
      <c r="B17" s="21"/>
      <c r="C17" s="22">
        <v>3329</v>
      </c>
      <c r="D17" s="23">
        <v>3334</v>
      </c>
      <c r="E17" s="24">
        <f t="shared" si="0"/>
        <v>-1.4997000599880073E-3</v>
      </c>
      <c r="F17" s="25">
        <v>7.8882551205600171E-2</v>
      </c>
      <c r="G17" s="26">
        <v>45704</v>
      </c>
      <c r="H17" s="23">
        <v>45132</v>
      </c>
      <c r="I17" s="24">
        <f t="shared" si="1"/>
        <v>1.2673934237348305E-2</v>
      </c>
      <c r="J17" s="27">
        <v>9.2268277760783279E-2</v>
      </c>
    </row>
    <row r="18" spans="1:10" x14ac:dyDescent="0.25">
      <c r="A18" s="20" t="str">
        <f>VLOOKUP("&lt;Zeilentitel_6&gt;",[1]Uebersetzungen!$B$4:$E$77,[1]Uebersetzungen!$B$2+1,FALSE)</f>
        <v>Niederlande</v>
      </c>
      <c r="B18" s="21"/>
      <c r="C18" s="22">
        <v>8147</v>
      </c>
      <c r="D18" s="23">
        <v>7965</v>
      </c>
      <c r="E18" s="24">
        <f t="shared" si="0"/>
        <v>2.2849968612680405E-2</v>
      </c>
      <c r="F18" s="25">
        <v>9.5940165191422899E-2</v>
      </c>
      <c r="G18" s="26">
        <v>99870</v>
      </c>
      <c r="H18" s="23">
        <v>104193</v>
      </c>
      <c r="I18" s="24">
        <f t="shared" si="1"/>
        <v>-4.1490311249316125E-2</v>
      </c>
      <c r="J18" s="27">
        <v>0.21523848462060768</v>
      </c>
    </row>
    <row r="19" spans="1:10" x14ac:dyDescent="0.25">
      <c r="A19" s="20" t="str">
        <f>VLOOKUP("&lt;Zeilentitel_7&gt;",[1]Uebersetzungen!$B$4:$E$77,[1]Uebersetzungen!$B$2+1,FALSE)</f>
        <v>Belgien</v>
      </c>
      <c r="B19" s="21"/>
      <c r="C19" s="22">
        <v>3862</v>
      </c>
      <c r="D19" s="23">
        <v>3553</v>
      </c>
      <c r="E19" s="24">
        <f t="shared" si="0"/>
        <v>8.6968758795384238E-2</v>
      </c>
      <c r="F19" s="25">
        <v>-0.10160975155857455</v>
      </c>
      <c r="G19" s="26">
        <v>135484</v>
      </c>
      <c r="H19" s="23">
        <v>155455</v>
      </c>
      <c r="I19" s="24">
        <f t="shared" si="1"/>
        <v>-0.12846804541507184</v>
      </c>
      <c r="J19" s="27">
        <v>0.25344854703068775</v>
      </c>
    </row>
    <row r="20" spans="1:10" x14ac:dyDescent="0.25">
      <c r="A20" s="20" t="str">
        <f>VLOOKUP("&lt;Zeilentitel_8&gt;",[1]Uebersetzungen!$B$4:$E$77,[1]Uebersetzungen!$B$2+1,FALSE)</f>
        <v>Luxemburg</v>
      </c>
      <c r="B20" s="21"/>
      <c r="C20" s="22">
        <v>1899</v>
      </c>
      <c r="D20" s="23">
        <v>1607</v>
      </c>
      <c r="E20" s="24">
        <f t="shared" si="0"/>
        <v>0.18170504044803981</v>
      </c>
      <c r="F20" s="25">
        <v>0.14590876176683554</v>
      </c>
      <c r="G20" s="26">
        <v>14759</v>
      </c>
      <c r="H20" s="23">
        <v>13847</v>
      </c>
      <c r="I20" s="24">
        <f t="shared" si="1"/>
        <v>6.5862641727449933E-2</v>
      </c>
      <c r="J20" s="27">
        <v>6.4478903714388691E-2</v>
      </c>
    </row>
    <row r="21" spans="1:10" x14ac:dyDescent="0.25">
      <c r="A21" s="20" t="str">
        <f>VLOOKUP("&lt;Zeilentitel_9&gt;",[1]Uebersetzungen!$B$4:$E$77,[1]Uebersetzungen!$B$2+1,FALSE)</f>
        <v>Vereinigtes Königreich</v>
      </c>
      <c r="B21" s="21"/>
      <c r="C21" s="22">
        <v>15377</v>
      </c>
      <c r="D21" s="23">
        <v>16837</v>
      </c>
      <c r="E21" s="24">
        <f t="shared" si="0"/>
        <v>-8.6713785116113273E-2</v>
      </c>
      <c r="F21" s="25">
        <v>0.19064948740979348</v>
      </c>
      <c r="G21" s="26">
        <v>151673</v>
      </c>
      <c r="H21" s="23">
        <v>147862</v>
      </c>
      <c r="I21" s="24">
        <f t="shared" si="1"/>
        <v>2.5774032543858461E-2</v>
      </c>
      <c r="J21" s="27">
        <v>0.31486872378680264</v>
      </c>
    </row>
    <row r="22" spans="1:10" x14ac:dyDescent="0.25">
      <c r="A22" s="20" t="str">
        <f>VLOOKUP("&lt;Zeilentitel_10&gt;",[1]Uebersetzungen!$B$4:$E$77,[1]Uebersetzungen!$B$2+1,FALSE)</f>
        <v>Vereinigte Staaten</v>
      </c>
      <c r="B22" s="21"/>
      <c r="C22" s="22">
        <v>14761</v>
      </c>
      <c r="D22" s="23">
        <v>13632</v>
      </c>
      <c r="E22" s="24">
        <f t="shared" si="0"/>
        <v>8.2819835680751241E-2</v>
      </c>
      <c r="F22" s="25">
        <v>0.55212298374376978</v>
      </c>
      <c r="G22" s="26">
        <v>131597</v>
      </c>
      <c r="H22" s="23">
        <v>104112</v>
      </c>
      <c r="I22" s="24">
        <f t="shared" si="1"/>
        <v>0.26399454433686809</v>
      </c>
      <c r="J22" s="27">
        <v>0.62726195805129703</v>
      </c>
    </row>
    <row r="23" spans="1:10" x14ac:dyDescent="0.25">
      <c r="A23" s="20" t="str">
        <f>VLOOKUP("&lt;Zeilentitel_11&gt;",[1]Uebersetzungen!$B$4:$E$77,[1]Uebersetzungen!$B$2+1,FALSE)</f>
        <v>Polen</v>
      </c>
      <c r="B23" s="21"/>
      <c r="C23" s="22">
        <v>3203</v>
      </c>
      <c r="D23" s="23">
        <v>2768</v>
      </c>
      <c r="E23" s="24">
        <f t="shared" si="0"/>
        <v>0.15715317919075145</v>
      </c>
      <c r="F23" s="25">
        <v>-0.14623094146497495</v>
      </c>
      <c r="G23" s="26">
        <v>28394</v>
      </c>
      <c r="H23" s="23">
        <v>44191</v>
      </c>
      <c r="I23" s="24">
        <f t="shared" si="1"/>
        <v>-0.3574709782534905</v>
      </c>
      <c r="J23" s="27">
        <v>-0.30334465228570862</v>
      </c>
    </row>
    <row r="24" spans="1:10" x14ac:dyDescent="0.25">
      <c r="A24" s="20" t="str">
        <f>VLOOKUP("&lt;Zeilentitel_12&gt;",[1]Uebersetzungen!$B$4:$E$77,[1]Uebersetzungen!$B$2+1,FALSE)</f>
        <v>Tschechien</v>
      </c>
      <c r="B24" s="21"/>
      <c r="C24" s="22">
        <v>2638</v>
      </c>
      <c r="D24" s="23">
        <v>2626</v>
      </c>
      <c r="E24" s="24">
        <f t="shared" si="0"/>
        <v>4.5696877380045908E-3</v>
      </c>
      <c r="F24" s="25">
        <v>2.2242889250561948E-2</v>
      </c>
      <c r="G24" s="26">
        <v>22157</v>
      </c>
      <c r="H24" s="23">
        <v>21924</v>
      </c>
      <c r="I24" s="24">
        <f t="shared" si="1"/>
        <v>1.0627622696588235E-2</v>
      </c>
      <c r="J24" s="27">
        <v>0.25866300074984672</v>
      </c>
    </row>
    <row r="25" spans="1:10" x14ac:dyDescent="0.25">
      <c r="A25" s="20" t="str">
        <f>VLOOKUP("&lt;Zeilentitel_13&gt;",[1]Uebersetzungen!$B$4:$E$77,[1]Uebersetzungen!$B$2+1,FALSE)</f>
        <v>Russland</v>
      </c>
      <c r="B25" s="21"/>
      <c r="C25" s="22">
        <v>1523</v>
      </c>
      <c r="D25" s="23">
        <v>1749</v>
      </c>
      <c r="E25" s="24">
        <f t="shared" si="0"/>
        <v>-0.12921669525443114</v>
      </c>
      <c r="F25" s="25">
        <v>-0.59312887369095957</v>
      </c>
      <c r="G25" s="26">
        <v>9146</v>
      </c>
      <c r="H25" s="23">
        <v>11343</v>
      </c>
      <c r="I25" s="24">
        <f t="shared" si="1"/>
        <v>-0.19368773693026531</v>
      </c>
      <c r="J25" s="27">
        <v>-0.64200439959605138</v>
      </c>
    </row>
    <row r="26" spans="1:10" x14ac:dyDescent="0.25">
      <c r="A26" s="20" t="str">
        <f>VLOOKUP("&lt;Zeilentitel_14&gt;",[1]Uebersetzungen!$B$4:$E$77,[1]Uebersetzungen!$B$2+1,FALSE)</f>
        <v>Schweden</v>
      </c>
      <c r="B26" s="21"/>
      <c r="C26" s="22">
        <v>1396</v>
      </c>
      <c r="D26" s="23">
        <v>1393</v>
      </c>
      <c r="E26" s="24">
        <f t="shared" si="0"/>
        <v>2.1536252692031521E-3</v>
      </c>
      <c r="F26" s="25">
        <v>0.30175307720999611</v>
      </c>
      <c r="G26" s="26">
        <v>16753</v>
      </c>
      <c r="H26" s="23">
        <v>18170</v>
      </c>
      <c r="I26" s="24">
        <f t="shared" si="1"/>
        <v>-7.7985690698954335E-2</v>
      </c>
      <c r="J26" s="27">
        <v>0.11377778959685148</v>
      </c>
    </row>
    <row r="27" spans="1:10" x14ac:dyDescent="0.25">
      <c r="A27" s="20" t="str">
        <f>VLOOKUP("&lt;Zeilentitel_15&gt;",[1]Uebersetzungen!$B$4:$E$77,[1]Uebersetzungen!$B$2+1,FALSE)</f>
        <v>Norwegen</v>
      </c>
      <c r="B27" s="21"/>
      <c r="C27" s="22">
        <v>285</v>
      </c>
      <c r="D27" s="23">
        <v>611</v>
      </c>
      <c r="E27" s="24">
        <f t="shared" si="0"/>
        <v>-0.53355155482815064</v>
      </c>
      <c r="F27" s="25">
        <v>-0.38656909169177789</v>
      </c>
      <c r="G27" s="26">
        <v>7961</v>
      </c>
      <c r="H27" s="23">
        <v>7811</v>
      </c>
      <c r="I27" s="24">
        <f t="shared" si="1"/>
        <v>1.9203687107924639E-2</v>
      </c>
      <c r="J27" s="27">
        <v>0.11673773987206815</v>
      </c>
    </row>
    <row r="28" spans="1:10" x14ac:dyDescent="0.25">
      <c r="A28" s="20" t="str">
        <f>VLOOKUP("&lt;Zeilentitel_16&gt;",[1]Uebersetzungen!$B$4:$E$77,[1]Uebersetzungen!$B$2+1,FALSE)</f>
        <v>Dänemark</v>
      </c>
      <c r="B28" s="21"/>
      <c r="C28" s="22">
        <v>781</v>
      </c>
      <c r="D28" s="23">
        <v>857</v>
      </c>
      <c r="E28" s="24">
        <f t="shared" si="0"/>
        <v>-8.8681446907817985E-2</v>
      </c>
      <c r="F28" s="25">
        <v>-0.19567456230690006</v>
      </c>
      <c r="G28" s="26">
        <v>13164</v>
      </c>
      <c r="H28" s="23">
        <v>14992</v>
      </c>
      <c r="I28" s="24">
        <f t="shared" si="1"/>
        <v>-0.12193169690501604</v>
      </c>
      <c r="J28" s="27">
        <v>5.6331246990852124E-2</v>
      </c>
    </row>
    <row r="29" spans="1:10" x14ac:dyDescent="0.25">
      <c r="A29" s="20" t="str">
        <f>VLOOKUP("&lt;Zeilentitel_17&gt;",[1]Uebersetzungen!$B$4:$E$77,[1]Uebersetzungen!$B$2+1,FALSE)</f>
        <v>Finnland</v>
      </c>
      <c r="B29" s="21"/>
      <c r="C29" s="22">
        <v>1049</v>
      </c>
      <c r="D29" s="23">
        <v>992</v>
      </c>
      <c r="E29" s="24">
        <f t="shared" si="0"/>
        <v>5.745967741935476E-2</v>
      </c>
      <c r="F29" s="25">
        <v>0.2877485882641786</v>
      </c>
      <c r="G29" s="26">
        <v>8609</v>
      </c>
      <c r="H29" s="23">
        <v>7543</v>
      </c>
      <c r="I29" s="24">
        <f t="shared" si="1"/>
        <v>0.14132308100225366</v>
      </c>
      <c r="J29" s="27">
        <v>0.35344610740787319</v>
      </c>
    </row>
    <row r="30" spans="1:10" x14ac:dyDescent="0.25">
      <c r="A30" s="20" t="str">
        <f>VLOOKUP("&lt;Zeilentitel_18&gt;",[1]Uebersetzungen!$B$4:$E$77,[1]Uebersetzungen!$B$2+1,FALSE)</f>
        <v>Japan</v>
      </c>
      <c r="B30" s="21"/>
      <c r="C30" s="22">
        <v>405</v>
      </c>
      <c r="D30" s="23">
        <v>226</v>
      </c>
      <c r="E30" s="24">
        <f t="shared" si="0"/>
        <v>0.79203539823008851</v>
      </c>
      <c r="F30" s="25">
        <v>0.4631502890173409</v>
      </c>
      <c r="G30" s="26">
        <v>15413</v>
      </c>
      <c r="H30" s="23">
        <v>4149</v>
      </c>
      <c r="I30" s="24">
        <f t="shared" si="1"/>
        <v>2.7148710532658473</v>
      </c>
      <c r="J30" s="27">
        <v>1.9241520080086616E-3</v>
      </c>
    </row>
    <row r="31" spans="1:10" x14ac:dyDescent="0.25">
      <c r="A31" s="20" t="str">
        <f>VLOOKUP("&lt;Zeilentitel_19&gt;",[1]Uebersetzungen!$B$4:$E$77,[1]Uebersetzungen!$B$2+1,FALSE)</f>
        <v>China / Hongkong / Taiwan (Chin. Taipei)</v>
      </c>
      <c r="B31" s="21"/>
      <c r="C31" s="22">
        <v>2014</v>
      </c>
      <c r="D31" s="23">
        <v>1932</v>
      </c>
      <c r="E31" s="24">
        <f t="shared" si="0"/>
        <v>4.2443064182194679E-2</v>
      </c>
      <c r="F31" s="25">
        <v>0.10187110187110182</v>
      </c>
      <c r="G31" s="26">
        <v>31460</v>
      </c>
      <c r="H31" s="23">
        <v>7201</v>
      </c>
      <c r="I31" s="24">
        <f t="shared" si="1"/>
        <v>3.3688376614359115</v>
      </c>
      <c r="J31" s="27">
        <v>0.2130512905539319</v>
      </c>
    </row>
    <row r="32" spans="1:10" x14ac:dyDescent="0.25">
      <c r="A32" s="20" t="str">
        <f>VLOOKUP("&lt;Zeilentitel_20&gt;",[1]Uebersetzungen!$B$4:$E$77,[1]Uebersetzungen!$B$2+1,FALSE)</f>
        <v xml:space="preserve">Indien </v>
      </c>
      <c r="B32" s="21"/>
      <c r="C32" s="28">
        <v>1001</v>
      </c>
      <c r="D32" s="23">
        <v>964</v>
      </c>
      <c r="E32" s="24">
        <f t="shared" si="0"/>
        <v>3.8381742738589297E-2</v>
      </c>
      <c r="F32" s="25">
        <v>0.4511452594955061</v>
      </c>
      <c r="G32" s="29">
        <v>11554</v>
      </c>
      <c r="H32" s="23">
        <v>7309</v>
      </c>
      <c r="I32" s="24">
        <f t="shared" si="1"/>
        <v>0.58079080585579423</v>
      </c>
      <c r="J32" s="27">
        <v>0.5151594628619387</v>
      </c>
    </row>
    <row r="33" spans="1:10" x14ac:dyDescent="0.25">
      <c r="A33" s="20" t="str">
        <f>VLOOKUP("&lt;Zeilentitel_21&gt;",[1]Uebersetzungen!$B$4:$E$77,[1]Uebersetzungen!$B$2+1,FALSE)</f>
        <v>Brasilien</v>
      </c>
      <c r="B33" s="21"/>
      <c r="C33" s="22">
        <v>2046</v>
      </c>
      <c r="D33" s="23">
        <v>1584</v>
      </c>
      <c r="E33" s="24">
        <f t="shared" si="0"/>
        <v>0.29166666666666674</v>
      </c>
      <c r="F33" s="25">
        <v>0.49473991817650509</v>
      </c>
      <c r="G33" s="26">
        <v>20624</v>
      </c>
      <c r="H33" s="23">
        <v>18935</v>
      </c>
      <c r="I33" s="24">
        <f t="shared" si="1"/>
        <v>8.9199894375495026E-2</v>
      </c>
      <c r="J33" s="27">
        <v>0.51962156825181638</v>
      </c>
    </row>
    <row r="34" spans="1:10" x14ac:dyDescent="0.25">
      <c r="A34" s="20" t="str">
        <f>VLOOKUP("&lt;Zeilentitel_22&gt;",[1]Uebersetzungen!$B$4:$E$77,[1]Uebersetzungen!$B$2+1,FALSE)</f>
        <v>Golfstaaten</v>
      </c>
      <c r="B34" s="21"/>
      <c r="C34" s="28">
        <v>5131</v>
      </c>
      <c r="D34" s="30">
        <v>3282</v>
      </c>
      <c r="E34" s="24">
        <f t="shared" si="0"/>
        <v>0.56337599024984764</v>
      </c>
      <c r="F34" s="25">
        <v>1.4127715602369983</v>
      </c>
      <c r="G34" s="29">
        <v>25254</v>
      </c>
      <c r="H34" s="30">
        <v>18482</v>
      </c>
      <c r="I34" s="24">
        <f t="shared" si="1"/>
        <v>0.3664105616275295</v>
      </c>
      <c r="J34" s="27">
        <v>0.70209611107366721</v>
      </c>
    </row>
    <row r="35" spans="1:10" x14ac:dyDescent="0.25">
      <c r="A35" s="20" t="str">
        <f>VLOOKUP("&lt;Zeilentitel_23&gt;",[1]Uebersetzungen!$B$4:$E$77,[1]Uebersetzungen!$B$2+1,FALSE)</f>
        <v>Übrige Herkunftsländer</v>
      </c>
      <c r="B35" s="21"/>
      <c r="C35" s="31">
        <f>C36-SUM(C13:C34)</f>
        <v>33332</v>
      </c>
      <c r="D35" s="32">
        <f>D36-SUM(D13:D34)</f>
        <v>27779</v>
      </c>
      <c r="E35" s="24">
        <f t="shared" si="0"/>
        <v>0.19989920443500475</v>
      </c>
      <c r="F35" s="33" t="s">
        <v>0</v>
      </c>
      <c r="G35" s="34">
        <f>G36-SUM(G13:G34)</f>
        <v>228061</v>
      </c>
      <c r="H35" s="32">
        <f>H36-SUM(H13:H34)</f>
        <v>170597</v>
      </c>
      <c r="I35" s="24">
        <f t="shared" si="1"/>
        <v>0.33684062439550511</v>
      </c>
      <c r="J35" s="35" t="s">
        <v>0</v>
      </c>
    </row>
    <row r="36" spans="1:10" ht="15.75" thickBot="1" x14ac:dyDescent="0.3">
      <c r="A36" s="36" t="str">
        <f>VLOOKUP("&lt;Zeilentitel_24&gt;",[1]Uebersetzungen!$B$4:$E$77,[1]Uebersetzungen!$B$2+1,FALSE)</f>
        <v>Graubünden</v>
      </c>
      <c r="B36" s="37"/>
      <c r="C36" s="38">
        <v>524587</v>
      </c>
      <c r="D36" s="39">
        <f>D61</f>
        <v>510996</v>
      </c>
      <c r="E36" s="40">
        <f t="shared" si="0"/>
        <v>2.6597077080838138E-2</v>
      </c>
      <c r="F36" s="41">
        <f>F61</f>
        <v>8.5277267698153913E-2</v>
      </c>
      <c r="G36" s="42">
        <v>5426042</v>
      </c>
      <c r="H36" s="39">
        <f t="shared" ref="H36" si="2">H61</f>
        <v>5566580</v>
      </c>
      <c r="I36" s="40">
        <f t="shared" si="1"/>
        <v>-2.5246740368412901E-2</v>
      </c>
      <c r="J36" s="43">
        <f>J61</f>
        <v>4.83916934169355E-2</v>
      </c>
    </row>
    <row r="37" spans="1:10" x14ac:dyDescent="0.25">
      <c r="C37" s="44"/>
      <c r="D37" s="45"/>
      <c r="I37" s="44"/>
      <c r="J37" s="44"/>
    </row>
    <row r="38" spans="1:10" x14ac:dyDescent="0.25">
      <c r="C38" s="44"/>
    </row>
    <row r="39" spans="1:10" ht="18" x14ac:dyDescent="0.25">
      <c r="A39" s="7" t="str">
        <f>VLOOKUP("&lt;T12Titel2&gt;",[1]Uebersetzungen!$B$4:$E$303,[1]Uebersetzungen!$B$2+1,FALSE)</f>
        <v>Hotel- und Kurbetriebe: Logiernächte im Dezember 2023, nach Destinationen</v>
      </c>
      <c r="B39" s="8"/>
      <c r="C39" s="8"/>
      <c r="D39" s="8"/>
      <c r="E39" s="8"/>
      <c r="F39" s="8"/>
    </row>
    <row r="40" spans="1:10" s="12" customFormat="1" ht="12.75" x14ac:dyDescent="0.2">
      <c r="A40" s="9" t="str">
        <f>VLOOKUP("&lt;Titelprov&gt;",[1]Uebersetzungen!$B$4:$E$303,[1]Uebersetzungen!$B$2+1,FALSE)</f>
        <v>definitive Ergebnisse</v>
      </c>
      <c r="B40" s="10"/>
      <c r="C40" s="11"/>
      <c r="D40" s="11"/>
      <c r="E40" s="11"/>
      <c r="F40" s="11"/>
      <c r="G40" s="11"/>
    </row>
    <row r="41" spans="1:10" ht="15.75" thickBot="1" x14ac:dyDescent="0.3"/>
    <row r="42" spans="1:10" ht="60" x14ac:dyDescent="0.25">
      <c r="A42" s="13"/>
      <c r="B42" s="14"/>
      <c r="C42" s="15" t="str">
        <f>VLOOKUP("&lt;T12SpaltenTitel_1&gt;",[1]Uebersetzungen!$B$4:$E$303,[1]Uebersetzungen!$B$2+1,FALSE)</f>
        <v>Dezember 2023</v>
      </c>
      <c r="D42" s="16" t="str">
        <f>VLOOKUP("&lt;T12SpaltenTitel_2&gt;",[1]Uebersetzungen!$B$4:$E$303,[1]Uebersetzungen!$B$2+1,FALSE)</f>
        <v>Dezember 2022</v>
      </c>
      <c r="E42" s="17" t="str">
        <f>VLOOKUP("&lt;SpaltenTitel_3&gt;",[1]Uebersetzungen!$B$4:$E$303,[1]Uebersetzungen!$B$2+1,FALSE)</f>
        <v>Veränderung 23/22 in %</v>
      </c>
      <c r="F42" s="17" t="str">
        <f>VLOOKUP("&lt;SpaltenTitel_4&gt;",[1]Uebersetzungen!$B$4:$E$303,[1]Uebersetzungen!$B$2+1,FALSE)</f>
        <v>Veränderung zum
5-Jahresmittel 
in %</v>
      </c>
      <c r="G42" s="18" t="str">
        <f>VLOOKUP("&lt;T12SpaltenTitel_5&gt;",[1]Uebersetzungen!$B$4:$E$303,[1]Uebersetzungen!$B$2+1,FALSE)</f>
        <v>Januar-Dezember 23</v>
      </c>
      <c r="H42" s="17" t="str">
        <f>VLOOKUP("&lt;T12SpaltenTitel_6&gt;",[1]Uebersetzungen!$B$4:$E$303,[1]Uebersetzungen!$B$2+1,FALSE)</f>
        <v>Januar-Dezember 22</v>
      </c>
      <c r="I42" s="17" t="str">
        <f>VLOOKUP("&lt;SpaltenTitel_7&gt;",[1]Uebersetzungen!$B$4:$E$303,[1]Uebersetzungen!$B$2+1,FALSE)</f>
        <v>Veränderung 23/22 in %</v>
      </c>
      <c r="J42" s="19" t="str">
        <f>VLOOKUP("&lt;SpaltenTitel_8&gt;",[1]Uebersetzungen!$B$4:$E$303,[1]Uebersetzungen!$B$2+1,FALSE)</f>
        <v>Veränderung zum
5-Jahresmittel 
in %</v>
      </c>
    </row>
    <row r="43" spans="1:10" x14ac:dyDescent="0.25">
      <c r="A43" s="20" t="str">
        <f>VLOOKUP("&lt;Zeilentitel_25&gt;",[1]Uebersetzungen!$B$4:$E$77,[1]Uebersetzungen!$B$2+1,FALSE)</f>
        <v>Arosa</v>
      </c>
      <c r="B43" s="21"/>
      <c r="C43" s="46">
        <v>51375</v>
      </c>
      <c r="D43" s="47">
        <v>46926</v>
      </c>
      <c r="E43" s="48">
        <f>C43/D43-1</f>
        <v>9.4808847973404831E-2</v>
      </c>
      <c r="F43" s="49">
        <v>0.14738830970439265</v>
      </c>
      <c r="G43" s="50">
        <v>403516</v>
      </c>
      <c r="H43" s="47">
        <v>402592</v>
      </c>
      <c r="I43" s="48">
        <f>G43/H43-1</f>
        <v>2.295127573324951E-3</v>
      </c>
      <c r="J43" s="51">
        <v>6.8743292478146811E-2</v>
      </c>
    </row>
    <row r="44" spans="1:10" x14ac:dyDescent="0.25">
      <c r="A44" s="20" t="str">
        <f>VLOOKUP("&lt;Zeilentitel_26&gt;",[1]Uebersetzungen!$B$4:$E$77,[1]Uebersetzungen!$B$2+1,FALSE)</f>
        <v>Bergün Filisur</v>
      </c>
      <c r="B44" s="21"/>
      <c r="C44" s="46">
        <v>4356</v>
      </c>
      <c r="D44" s="47">
        <v>4967</v>
      </c>
      <c r="E44" s="48">
        <f t="shared" ref="E44:E61" si="3">C44/D44-1</f>
        <v>-0.123011878397423</v>
      </c>
      <c r="F44" s="49">
        <v>-6.6718087157732309E-2</v>
      </c>
      <c r="G44" s="50">
        <v>63535</v>
      </c>
      <c r="H44" s="47">
        <v>67898</v>
      </c>
      <c r="I44" s="48">
        <f t="shared" ref="I44:I61" si="4">G44/H44-1</f>
        <v>-6.4258151933783036E-2</v>
      </c>
      <c r="J44" s="51">
        <v>2.4021429745698875E-2</v>
      </c>
    </row>
    <row r="45" spans="1:10" x14ac:dyDescent="0.25">
      <c r="A45" s="20" t="str">
        <f>VLOOKUP("&lt;Zeilentitel_27&gt;",[1]Uebersetzungen!$B$4:$E$77,[1]Uebersetzungen!$B$2+1,FALSE)</f>
        <v>Bregaglia Engadin</v>
      </c>
      <c r="B45" s="21"/>
      <c r="C45" s="46">
        <v>226</v>
      </c>
      <c r="D45" s="47">
        <v>311</v>
      </c>
      <c r="E45" s="48">
        <f t="shared" si="3"/>
        <v>-0.27331189710610937</v>
      </c>
      <c r="F45" s="49">
        <v>-1.9947961838681638E-2</v>
      </c>
      <c r="G45" s="50">
        <v>18189</v>
      </c>
      <c r="H45" s="47">
        <v>20405</v>
      </c>
      <c r="I45" s="48">
        <f t="shared" si="4"/>
        <v>-0.10860083312913504</v>
      </c>
      <c r="J45" s="51">
        <v>3.9537754612166465E-2</v>
      </c>
    </row>
    <row r="46" spans="1:10" x14ac:dyDescent="0.25">
      <c r="A46" s="20" t="str">
        <f>VLOOKUP("&lt;Zeilentitel_28&gt;",[1]Uebersetzungen!$B$4:$E$77,[1]Uebersetzungen!$B$2+1,FALSE)</f>
        <v>Bündner Herrschaft</v>
      </c>
      <c r="B46" s="21"/>
      <c r="C46" s="46">
        <v>3355</v>
      </c>
      <c r="D46" s="47">
        <v>3015</v>
      </c>
      <c r="E46" s="48">
        <f t="shared" si="3"/>
        <v>0.11276948590381419</v>
      </c>
      <c r="F46" s="49">
        <v>0.36404293381037567</v>
      </c>
      <c r="G46" s="50">
        <v>54175</v>
      </c>
      <c r="H46" s="47">
        <v>50689</v>
      </c>
      <c r="I46" s="48">
        <f t="shared" si="4"/>
        <v>6.8772317465327859E-2</v>
      </c>
      <c r="J46" s="51">
        <v>0.1892740324457225</v>
      </c>
    </row>
    <row r="47" spans="1:10" x14ac:dyDescent="0.25">
      <c r="A47" s="20" t="str">
        <f>VLOOKUP("&lt;Zeilentitel_29&gt;",[1]Uebersetzungen!$B$4:$E$77,[1]Uebersetzungen!$B$2+1,FALSE)</f>
        <v>Chur</v>
      </c>
      <c r="B47" s="21"/>
      <c r="C47" s="46">
        <v>17836</v>
      </c>
      <c r="D47" s="47">
        <v>15840</v>
      </c>
      <c r="E47" s="48">
        <f t="shared" si="3"/>
        <v>0.12601010101010091</v>
      </c>
      <c r="F47" s="49">
        <v>0.32929883138564264</v>
      </c>
      <c r="G47" s="50">
        <v>226732</v>
      </c>
      <c r="H47" s="47">
        <v>207927</v>
      </c>
      <c r="I47" s="48">
        <f t="shared" si="4"/>
        <v>9.0440394946303293E-2</v>
      </c>
      <c r="J47" s="51">
        <v>0.25846722896541618</v>
      </c>
    </row>
    <row r="48" spans="1:10" x14ac:dyDescent="0.25">
      <c r="A48" s="20" t="str">
        <f>VLOOKUP("&lt;Zeilentitel_30&gt;",[1]Uebersetzungen!$B$4:$E$77,[1]Uebersetzungen!$B$2+1,FALSE)</f>
        <v>Davos Klosters</v>
      </c>
      <c r="B48" s="21"/>
      <c r="C48" s="46">
        <v>107285</v>
      </c>
      <c r="D48" s="47">
        <v>105313</v>
      </c>
      <c r="E48" s="48">
        <f t="shared" si="3"/>
        <v>1.8725133649217129E-2</v>
      </c>
      <c r="F48" s="49">
        <v>5.7624438582170923E-2</v>
      </c>
      <c r="G48" s="50">
        <v>953708</v>
      </c>
      <c r="H48" s="47">
        <v>984169</v>
      </c>
      <c r="I48" s="48">
        <f t="shared" si="4"/>
        <v>-3.0950985044235324E-2</v>
      </c>
      <c r="J48" s="51">
        <v>5.5579887996730637E-3</v>
      </c>
    </row>
    <row r="49" spans="1:10" x14ac:dyDescent="0.25">
      <c r="A49" s="20" t="str">
        <f>VLOOKUP("&lt;Zeilentitel_31&gt;",[1]Uebersetzungen!$B$4:$E$77,[1]Uebersetzungen!$B$2+1,FALSE)</f>
        <v>Disentis Sedrun</v>
      </c>
      <c r="B49" s="21"/>
      <c r="C49" s="46">
        <v>8968</v>
      </c>
      <c r="D49" s="47">
        <v>9023</v>
      </c>
      <c r="E49" s="48">
        <f t="shared" si="3"/>
        <v>-6.0955336362629176E-3</v>
      </c>
      <c r="F49" s="49">
        <v>4.5830903790087474E-2</v>
      </c>
      <c r="G49" s="50">
        <v>133881</v>
      </c>
      <c r="H49" s="47">
        <v>141063</v>
      </c>
      <c r="I49" s="48">
        <f t="shared" si="4"/>
        <v>-5.0913421662661329E-2</v>
      </c>
      <c r="J49" s="51">
        <v>0.10712797205572988</v>
      </c>
    </row>
    <row r="50" spans="1:10" x14ac:dyDescent="0.25">
      <c r="A50" s="20" t="str">
        <f>VLOOKUP("&lt;Zeilentitel_32&gt;",[1]Uebersetzungen!$B$4:$E$77,[1]Uebersetzungen!$B$2+1,FALSE)</f>
        <v>Scuol Samnaun Val Müstair</v>
      </c>
      <c r="B50" s="21"/>
      <c r="C50" s="46">
        <v>41623</v>
      </c>
      <c r="D50" s="47">
        <v>41999</v>
      </c>
      <c r="E50" s="48">
        <f t="shared" si="3"/>
        <v>-8.9525941093835382E-3</v>
      </c>
      <c r="F50" s="49">
        <v>-5.3243097276191031E-3</v>
      </c>
      <c r="G50" s="50">
        <v>533540</v>
      </c>
      <c r="H50" s="47">
        <v>545974</v>
      </c>
      <c r="I50" s="48">
        <f t="shared" si="4"/>
        <v>-2.2773978248048388E-2</v>
      </c>
      <c r="J50" s="51">
        <v>-2.2841272969292392E-2</v>
      </c>
    </row>
    <row r="51" spans="1:10" x14ac:dyDescent="0.25">
      <c r="A51" s="20" t="str">
        <f>VLOOKUP("&lt;Zeilentitel_33&gt;",[1]Uebersetzungen!$B$4:$E$77,[1]Uebersetzungen!$B$2+1,FALSE)</f>
        <v>Engadin St. Moritz</v>
      </c>
      <c r="B51" s="21"/>
      <c r="C51" s="46">
        <v>173167</v>
      </c>
      <c r="D51" s="47">
        <v>175215</v>
      </c>
      <c r="E51" s="48">
        <f t="shared" si="3"/>
        <v>-1.1688496989412989E-2</v>
      </c>
      <c r="F51" s="49">
        <v>9.459010155332459E-2</v>
      </c>
      <c r="G51" s="50">
        <v>1712655</v>
      </c>
      <c r="H51" s="47">
        <v>1740967</v>
      </c>
      <c r="I51" s="48">
        <f t="shared" si="4"/>
        <v>-1.6262226682068115E-2</v>
      </c>
      <c r="J51" s="51">
        <v>8.1632802571785845E-2</v>
      </c>
    </row>
    <row r="52" spans="1:10" x14ac:dyDescent="0.25">
      <c r="A52" s="20" t="str">
        <f>VLOOKUP("&lt;Zeilentitel_34&gt;",[1]Uebersetzungen!$B$4:$E$77,[1]Uebersetzungen!$B$2+1,FALSE)</f>
        <v>Flims Laax</v>
      </c>
      <c r="B52" s="21"/>
      <c r="C52" s="46">
        <v>39286</v>
      </c>
      <c r="D52" s="47">
        <v>42867</v>
      </c>
      <c r="E52" s="48">
        <f t="shared" si="3"/>
        <v>-8.3537453052464627E-2</v>
      </c>
      <c r="F52" s="49">
        <v>-7.0074609907589847E-2</v>
      </c>
      <c r="G52" s="50">
        <v>472852</v>
      </c>
      <c r="H52" s="47">
        <v>544001</v>
      </c>
      <c r="I52" s="48">
        <f t="shared" si="4"/>
        <v>-0.13078836252139248</v>
      </c>
      <c r="J52" s="51">
        <v>3.4859236679063432E-3</v>
      </c>
    </row>
    <row r="53" spans="1:10" x14ac:dyDescent="0.25">
      <c r="A53" s="20" t="str">
        <f>VLOOKUP("&lt;Zeilentitel_35&gt;",[1]Uebersetzungen!$B$4:$E$77,[1]Uebersetzungen!$B$2+1,FALSE)</f>
        <v>Lenzerheide</v>
      </c>
      <c r="B53" s="21"/>
      <c r="C53" s="46">
        <v>39514</v>
      </c>
      <c r="D53" s="47">
        <v>30982</v>
      </c>
      <c r="E53" s="48">
        <f t="shared" si="3"/>
        <v>0.27538570783035321</v>
      </c>
      <c r="F53" s="49">
        <v>0.22800474867453557</v>
      </c>
      <c r="G53" s="50">
        <v>323616</v>
      </c>
      <c r="H53" s="47">
        <v>323713</v>
      </c>
      <c r="I53" s="48">
        <f t="shared" si="4"/>
        <v>-2.9964814511618254E-4</v>
      </c>
      <c r="J53" s="51">
        <v>-2.4598198598088095E-3</v>
      </c>
    </row>
    <row r="54" spans="1:10" x14ac:dyDescent="0.25">
      <c r="A54" s="20" t="str">
        <f>VLOOKUP("&lt;Zeilentitel_36&gt;",[1]Uebersetzungen!$B$4:$E$77,[1]Uebersetzungen!$B$2+1,FALSE)</f>
        <v>Prättigau</v>
      </c>
      <c r="B54" s="21"/>
      <c r="C54" s="46">
        <v>5377</v>
      </c>
      <c r="D54" s="47">
        <v>4999</v>
      </c>
      <c r="E54" s="48">
        <f t="shared" si="3"/>
        <v>7.5615123024604936E-2</v>
      </c>
      <c r="F54" s="49">
        <v>6.890108142493645E-2</v>
      </c>
      <c r="G54" s="50">
        <v>83698</v>
      </c>
      <c r="H54" s="47">
        <v>75723</v>
      </c>
      <c r="I54" s="48">
        <f t="shared" si="4"/>
        <v>0.10531806716585446</v>
      </c>
      <c r="J54" s="51">
        <v>0.21539949407968706</v>
      </c>
    </row>
    <row r="55" spans="1:10" x14ac:dyDescent="0.25">
      <c r="A55" s="20" t="str">
        <f>VLOOKUP("&lt;Zeilentitel_37&gt;",[1]Uebersetzungen!$B$4:$E$77,[1]Uebersetzungen!$B$2+1,FALSE)</f>
        <v>San Bernardino, Mesolcina/Calanca</v>
      </c>
      <c r="B55" s="21"/>
      <c r="C55" s="46">
        <v>1557</v>
      </c>
      <c r="D55" s="47">
        <v>1866</v>
      </c>
      <c r="E55" s="48">
        <f t="shared" si="3"/>
        <v>-0.16559485530546625</v>
      </c>
      <c r="F55" s="49">
        <v>-0.13461538461538469</v>
      </c>
      <c r="G55" s="50">
        <v>24222</v>
      </c>
      <c r="H55" s="47">
        <v>25827</v>
      </c>
      <c r="I55" s="48">
        <f t="shared" si="4"/>
        <v>-6.2144267626902061E-2</v>
      </c>
      <c r="J55" s="51">
        <v>7.431785118688583E-2</v>
      </c>
    </row>
    <row r="56" spans="1:10" x14ac:dyDescent="0.25">
      <c r="A56" s="20" t="str">
        <f>VLOOKUP("&lt;Zeilentitel_38&gt;",[1]Uebersetzungen!$B$4:$E$77,[1]Uebersetzungen!$B$2+1,FALSE)</f>
        <v>Val Surses</v>
      </c>
      <c r="B56" s="21"/>
      <c r="C56" s="46">
        <v>7264</v>
      </c>
      <c r="D56" s="47">
        <v>5738</v>
      </c>
      <c r="E56" s="48">
        <f t="shared" si="3"/>
        <v>0.26594632276054364</v>
      </c>
      <c r="F56" s="49">
        <v>0.4269437787294228</v>
      </c>
      <c r="G56" s="50">
        <v>85079</v>
      </c>
      <c r="H56" s="47">
        <v>88969</v>
      </c>
      <c r="I56" s="48">
        <f t="shared" si="4"/>
        <v>-4.3723094561026854E-2</v>
      </c>
      <c r="J56" s="51">
        <v>0.14257665613786275</v>
      </c>
    </row>
    <row r="57" spans="1:10" x14ac:dyDescent="0.25">
      <c r="A57" s="20" t="str">
        <f>VLOOKUP("&lt;Zeilentitel_39&gt;",[1]Uebersetzungen!$B$4:$E$77,[1]Uebersetzungen!$B$2+1,FALSE)</f>
        <v>Surselva</v>
      </c>
      <c r="B57" s="21"/>
      <c r="C57" s="46">
        <v>7314</v>
      </c>
      <c r="D57" s="47">
        <v>6766</v>
      </c>
      <c r="E57" s="48">
        <f t="shared" si="3"/>
        <v>8.099320130062071E-2</v>
      </c>
      <c r="F57" s="49">
        <v>4.87224341143071E-2</v>
      </c>
      <c r="G57" s="50">
        <v>98765</v>
      </c>
      <c r="H57" s="47">
        <v>108304</v>
      </c>
      <c r="I57" s="48">
        <f t="shared" si="4"/>
        <v>-8.8076156005318373E-2</v>
      </c>
      <c r="J57" s="51">
        <v>-6.3064447581318239E-2</v>
      </c>
    </row>
    <row r="58" spans="1:10" x14ac:dyDescent="0.25">
      <c r="A58" s="20" t="str">
        <f>VLOOKUP("&lt;Zeilentitel_40&gt;",[1]Uebersetzungen!$B$4:$E$77,[1]Uebersetzungen!$B$2+1,FALSE)</f>
        <v>Valposchiavo</v>
      </c>
      <c r="B58" s="21"/>
      <c r="C58" s="46">
        <v>4031</v>
      </c>
      <c r="D58" s="47">
        <v>3314</v>
      </c>
      <c r="E58" s="48">
        <f t="shared" si="3"/>
        <v>0.21635485817742905</v>
      </c>
      <c r="F58" s="49">
        <v>0.59290286888484944</v>
      </c>
      <c r="G58" s="50">
        <v>78204</v>
      </c>
      <c r="H58" s="47">
        <v>73727</v>
      </c>
      <c r="I58" s="48">
        <f t="shared" si="4"/>
        <v>6.0724022406988043E-2</v>
      </c>
      <c r="J58" s="51">
        <v>0.2071014685135506</v>
      </c>
    </row>
    <row r="59" spans="1:10" x14ac:dyDescent="0.25">
      <c r="A59" s="20" t="str">
        <f>VLOOKUP("&lt;Zeilentitel_41&gt;",[1]Uebersetzungen!$B$4:$E$77,[1]Uebersetzungen!$B$2+1,FALSE)</f>
        <v>Vals</v>
      </c>
      <c r="B59" s="21"/>
      <c r="C59" s="46">
        <v>6823</v>
      </c>
      <c r="D59" s="47">
        <v>6934</v>
      </c>
      <c r="E59" s="48">
        <f t="shared" si="3"/>
        <v>-1.600807614652433E-2</v>
      </c>
      <c r="F59" s="49">
        <v>1.3306798942584797E-2</v>
      </c>
      <c r="G59" s="50">
        <v>67815</v>
      </c>
      <c r="H59" s="47">
        <v>74108</v>
      </c>
      <c r="I59" s="48">
        <f t="shared" si="4"/>
        <v>-8.4916608193447374E-2</v>
      </c>
      <c r="J59" s="51">
        <v>-5.8250566591121045E-2</v>
      </c>
    </row>
    <row r="60" spans="1:10" x14ac:dyDescent="0.25">
      <c r="A60" s="20" t="str">
        <f>VLOOKUP("&lt;Zeilentitel_42&gt;",[1]Uebersetzungen!$B$4:$E$77,[1]Uebersetzungen!$B$2+1,FALSE)</f>
        <v>Viamala</v>
      </c>
      <c r="B60" s="52"/>
      <c r="C60" s="53">
        <v>5230</v>
      </c>
      <c r="D60" s="54">
        <v>4921</v>
      </c>
      <c r="E60" s="55">
        <f t="shared" si="3"/>
        <v>6.2792115423694339E-2</v>
      </c>
      <c r="F60" s="56">
        <v>1.1448905391815645E-2</v>
      </c>
      <c r="G60" s="57">
        <v>91860</v>
      </c>
      <c r="H60" s="54">
        <v>90524</v>
      </c>
      <c r="I60" s="55">
        <f t="shared" si="4"/>
        <v>1.4758517078343969E-2</v>
      </c>
      <c r="J60" s="58">
        <v>1.7419966506880158E-2</v>
      </c>
    </row>
    <row r="61" spans="1:10" ht="15.75" thickBot="1" x14ac:dyDescent="0.3">
      <c r="A61" s="36" t="str">
        <f>VLOOKUP("&lt;Zeilentitel_43&gt;",[1]Uebersetzungen!$B$4:$E$77,[1]Uebersetzungen!$B$2+1,FALSE)</f>
        <v>Graubünden</v>
      </c>
      <c r="B61" s="59"/>
      <c r="C61" s="38">
        <v>524587</v>
      </c>
      <c r="D61" s="60">
        <v>510996</v>
      </c>
      <c r="E61" s="61">
        <f t="shared" si="3"/>
        <v>2.6597077080838138E-2</v>
      </c>
      <c r="F61" s="62">
        <v>8.5277267698153913E-2</v>
      </c>
      <c r="G61" s="42">
        <v>5426042</v>
      </c>
      <c r="H61" s="60">
        <v>5566580</v>
      </c>
      <c r="I61" s="61">
        <f t="shared" si="4"/>
        <v>-2.5246740368412901E-2</v>
      </c>
      <c r="J61" s="63">
        <v>4.83916934169355E-2</v>
      </c>
    </row>
    <row r="63" spans="1:10" x14ac:dyDescent="0.25">
      <c r="A63" s="3" t="str">
        <f>VLOOKUP("&lt;Legende_1&gt;",[1]Uebersetzungen!$B$4:$E$79,[1]Uebersetzungen!$B$2+1,FALSE)</f>
        <v>Aktuelle Zuordnung der politischen Gemeinden zu Destinationen:</v>
      </c>
      <c r="E63" s="64" t="s">
        <v>1</v>
      </c>
      <c r="F63" s="65"/>
    </row>
    <row r="65" spans="1:10" ht="10.5" customHeight="1" x14ac:dyDescent="0.25"/>
    <row r="66" spans="1:10" ht="18" x14ac:dyDescent="0.25">
      <c r="A66" s="7" t="str">
        <f>VLOOKUP("&lt;T12Titel3&gt;",[1]Uebersetzungen!$B$4:$E$303,[1]Uebersetzungen!$B$2+1,FALSE)</f>
        <v>Hotel- und Kurbetriebe: Logiernächte im Dezember 2023, nach Schweizer Tourismusregionen</v>
      </c>
      <c r="B66" s="8"/>
      <c r="C66" s="8"/>
      <c r="D66" s="8"/>
      <c r="E66" s="8"/>
      <c r="F66" s="8"/>
    </row>
    <row r="67" spans="1:10" s="12" customFormat="1" ht="12.75" x14ac:dyDescent="0.2">
      <c r="A67" s="9" t="str">
        <f>VLOOKUP("&lt;Titelprov&gt;",[1]Uebersetzungen!$B$4:$E$303,[1]Uebersetzungen!$B$2+1,FALSE)</f>
        <v>definitive Ergebnisse</v>
      </c>
      <c r="B67" s="10"/>
      <c r="C67" s="11"/>
      <c r="D67" s="11"/>
      <c r="E67" s="11"/>
      <c r="F67" s="11"/>
      <c r="G67" s="11"/>
    </row>
    <row r="68" spans="1:10" ht="18.75" customHeight="1" thickBot="1" x14ac:dyDescent="0.3">
      <c r="A68" s="66"/>
    </row>
    <row r="69" spans="1:10" ht="60" x14ac:dyDescent="0.25">
      <c r="A69" s="13"/>
      <c r="B69" s="14"/>
      <c r="C69" s="15" t="str">
        <f>VLOOKUP("&lt;T12SpaltenTitel_1&gt;",[1]Uebersetzungen!$B$4:$E$303,[1]Uebersetzungen!$B$2+1,FALSE)</f>
        <v>Dezember 2023</v>
      </c>
      <c r="D69" s="16" t="str">
        <f>VLOOKUP("&lt;T12SpaltenTitel_2&gt;",[1]Uebersetzungen!$B$4:$E$303,[1]Uebersetzungen!$B$2+1,FALSE)</f>
        <v>Dezember 2022</v>
      </c>
      <c r="E69" s="17" t="str">
        <f>VLOOKUP("&lt;SpaltenTitel_3&gt;",[1]Uebersetzungen!$B$4:$E$303,[1]Uebersetzungen!$B$2+1,FALSE)</f>
        <v>Veränderung 23/22 in %</v>
      </c>
      <c r="F69" s="17" t="str">
        <f>VLOOKUP("&lt;SpaltenTitel_4&gt;",[1]Uebersetzungen!$B$4:$E$303,[1]Uebersetzungen!$B$2+1,FALSE)</f>
        <v>Veränderung zum
5-Jahresmittel 
in %</v>
      </c>
      <c r="G69" s="18" t="str">
        <f>VLOOKUP("&lt;T12SpaltenTitel_5&gt;",[1]Uebersetzungen!$B$4:$E$303,[1]Uebersetzungen!$B$2+1,FALSE)</f>
        <v>Januar-Dezember 23</v>
      </c>
      <c r="H69" s="17" t="str">
        <f>VLOOKUP("&lt;T12SpaltenTitel_6&gt;",[1]Uebersetzungen!$B$4:$E$303,[1]Uebersetzungen!$B$2+1,FALSE)</f>
        <v>Januar-Dezember 22</v>
      </c>
      <c r="I69" s="17" t="str">
        <f>VLOOKUP("&lt;SpaltenTitel_7&gt;",[1]Uebersetzungen!$B$4:$E$303,[1]Uebersetzungen!$B$2+1,FALSE)</f>
        <v>Veränderung 23/22 in %</v>
      </c>
      <c r="J69" s="19" t="str">
        <f>VLOOKUP("&lt;SpaltenTitel_8&gt;",[1]Uebersetzungen!$B$4:$E$303,[1]Uebersetzungen!$B$2+1,FALSE)</f>
        <v>Veränderung zum
5-Jahresmittel 
in %</v>
      </c>
    </row>
    <row r="70" spans="1:10" x14ac:dyDescent="0.25">
      <c r="A70" s="20" t="str">
        <f>VLOOKUP("&lt;Zeilentitel_44&gt;",[1]Uebersetzungen!$B$4:$E$77,[1]Uebersetzungen!$B$2+1,FALSE)</f>
        <v>Aargau und Solothurn Region</v>
      </c>
      <c r="B70" s="21"/>
      <c r="C70" s="46">
        <v>74300</v>
      </c>
      <c r="D70" s="47">
        <v>73397</v>
      </c>
      <c r="E70" s="48">
        <f>C70/D70-1</f>
        <v>1.2302955161655138E-2</v>
      </c>
      <c r="F70" s="49">
        <v>0.27025049408128243</v>
      </c>
      <c r="G70" s="50">
        <v>1145927</v>
      </c>
      <c r="H70" s="47">
        <v>1023850</v>
      </c>
      <c r="I70" s="48">
        <f>G70/H70-1</f>
        <v>0.11923328612589734</v>
      </c>
      <c r="J70" s="51">
        <v>0.245202513687234</v>
      </c>
    </row>
    <row r="71" spans="1:10" x14ac:dyDescent="0.25">
      <c r="A71" s="20" t="str">
        <f>VLOOKUP("&lt;Zeilentitel_45&gt;",[1]Uebersetzungen!$B$4:$E$77,[1]Uebersetzungen!$B$2+1,FALSE)</f>
        <v>Basel Region</v>
      </c>
      <c r="B71" s="21"/>
      <c r="C71" s="46">
        <v>165385</v>
      </c>
      <c r="D71" s="47">
        <v>143512</v>
      </c>
      <c r="E71" s="48">
        <f t="shared" ref="E71:E83" si="5">C71/D71-1</f>
        <v>0.15241234182507379</v>
      </c>
      <c r="F71" s="49">
        <v>0.5986301184485503</v>
      </c>
      <c r="G71" s="50">
        <v>1750112</v>
      </c>
      <c r="H71" s="47">
        <v>1531150</v>
      </c>
      <c r="I71" s="48">
        <f t="shared" ref="I71:I83" si="6">G71/H71-1</f>
        <v>0.14300493093426514</v>
      </c>
      <c r="J71" s="51">
        <v>0.32937069491861948</v>
      </c>
    </row>
    <row r="72" spans="1:10" x14ac:dyDescent="0.25">
      <c r="A72" s="20" t="str">
        <f>VLOOKUP("&lt;Zeilentitel_46&gt;",[1]Uebersetzungen!$B$4:$E$77,[1]Uebersetzungen!$B$2+1,FALSE)</f>
        <v>Bern Region</v>
      </c>
      <c r="B72" s="21"/>
      <c r="C72" s="46">
        <v>380484</v>
      </c>
      <c r="D72" s="47">
        <v>366294</v>
      </c>
      <c r="E72" s="48">
        <f t="shared" si="5"/>
        <v>3.8739373290307855E-2</v>
      </c>
      <c r="F72" s="49">
        <v>0.26035488846135491</v>
      </c>
      <c r="G72" s="50">
        <v>5993180</v>
      </c>
      <c r="H72" s="47">
        <v>5251001</v>
      </c>
      <c r="I72" s="48">
        <f t="shared" si="6"/>
        <v>0.14134047965330798</v>
      </c>
      <c r="J72" s="51">
        <v>0.29033055368352367</v>
      </c>
    </row>
    <row r="73" spans="1:10" x14ac:dyDescent="0.25">
      <c r="A73" s="20" t="str">
        <f>VLOOKUP("&lt;Zeilentitel_47&gt;",[1]Uebersetzungen!$B$4:$E$77,[1]Uebersetzungen!$B$2+1,FALSE)</f>
        <v>Fribourg Region</v>
      </c>
      <c r="B73" s="21"/>
      <c r="C73" s="46">
        <v>30063</v>
      </c>
      <c r="D73" s="47">
        <v>31415</v>
      </c>
      <c r="E73" s="48">
        <f t="shared" si="5"/>
        <v>-4.3036765876173777E-2</v>
      </c>
      <c r="F73" s="49">
        <v>0.26976685250886967</v>
      </c>
      <c r="G73" s="50">
        <v>496830</v>
      </c>
      <c r="H73" s="47">
        <v>473639</v>
      </c>
      <c r="I73" s="48">
        <f t="shared" si="6"/>
        <v>4.8963451067163044E-2</v>
      </c>
      <c r="J73" s="51">
        <v>0.18420695102760942</v>
      </c>
    </row>
    <row r="74" spans="1:10" x14ac:dyDescent="0.25">
      <c r="A74" s="20" t="str">
        <f>VLOOKUP("&lt;Zeilentitel_48&gt;",[1]Uebersetzungen!$B$4:$E$77,[1]Uebersetzungen!$B$2+1,FALSE)</f>
        <v>Genf</v>
      </c>
      <c r="B74" s="21"/>
      <c r="C74" s="46">
        <v>285862</v>
      </c>
      <c r="D74" s="47">
        <v>264307</v>
      </c>
      <c r="E74" s="48">
        <f t="shared" si="5"/>
        <v>8.1552891145523887E-2</v>
      </c>
      <c r="F74" s="49">
        <v>0.53385938987314341</v>
      </c>
      <c r="G74" s="50">
        <v>3553303</v>
      </c>
      <c r="H74" s="47">
        <v>2965424</v>
      </c>
      <c r="I74" s="48">
        <f t="shared" si="6"/>
        <v>0.19824450061778687</v>
      </c>
      <c r="J74" s="51">
        <v>0.48451324734669532</v>
      </c>
    </row>
    <row r="75" spans="1:10" x14ac:dyDescent="0.25">
      <c r="A75" s="67" t="str">
        <f>VLOOKUP("&lt;Zeilentitel_49&gt;",[1]Uebersetzungen!$B$4:$E$77,[1]Uebersetzungen!$B$2+1,FALSE)</f>
        <v>Graubünden</v>
      </c>
      <c r="B75" s="68"/>
      <c r="C75" s="69">
        <v>524587</v>
      </c>
      <c r="D75" s="70">
        <v>510996</v>
      </c>
      <c r="E75" s="71">
        <f t="shared" si="5"/>
        <v>2.6597077080838138E-2</v>
      </c>
      <c r="F75" s="72">
        <v>8.5277267698153913E-2</v>
      </c>
      <c r="G75" s="73">
        <v>5426042</v>
      </c>
      <c r="H75" s="70">
        <v>5566580</v>
      </c>
      <c r="I75" s="71">
        <f t="shared" si="6"/>
        <v>-2.5246740368412901E-2</v>
      </c>
      <c r="J75" s="74">
        <v>4.8391693416935722E-2</v>
      </c>
    </row>
    <row r="76" spans="1:10" x14ac:dyDescent="0.25">
      <c r="A76" s="20" t="str">
        <f>VLOOKUP("&lt;Zeilentitel_50&gt;",[1]Uebersetzungen!$B$4:$E$77,[1]Uebersetzungen!$B$2+1,FALSE)</f>
        <v>Jura &amp; Drei-Seen-Land</v>
      </c>
      <c r="B76" s="21"/>
      <c r="C76" s="46">
        <v>31833</v>
      </c>
      <c r="D76" s="47">
        <v>33554</v>
      </c>
      <c r="E76" s="48">
        <f t="shared" si="5"/>
        <v>-5.1290457173511328E-2</v>
      </c>
      <c r="F76" s="49">
        <v>0.20659985444842</v>
      </c>
      <c r="G76" s="50">
        <v>602764</v>
      </c>
      <c r="H76" s="47">
        <v>591898</v>
      </c>
      <c r="I76" s="48">
        <f t="shared" si="6"/>
        <v>1.8357892745033855E-2</v>
      </c>
      <c r="J76" s="51">
        <v>0.12831809538713479</v>
      </c>
    </row>
    <row r="77" spans="1:10" x14ac:dyDescent="0.25">
      <c r="A77" s="20" t="str">
        <f>VLOOKUP("&lt;Zeilentitel_51&gt;",[1]Uebersetzungen!$B$4:$E$77,[1]Uebersetzungen!$B$2+1,FALSE)</f>
        <v>Luzern / Vierwaldstättersee</v>
      </c>
      <c r="B77" s="21"/>
      <c r="C77" s="46">
        <v>259626</v>
      </c>
      <c r="D77" s="47">
        <v>246337</v>
      </c>
      <c r="E77" s="48">
        <f t="shared" si="5"/>
        <v>5.3946422989644249E-2</v>
      </c>
      <c r="F77" s="49">
        <v>0.25474954401477712</v>
      </c>
      <c r="G77" s="50">
        <v>3944351</v>
      </c>
      <c r="H77" s="47">
        <v>3500246</v>
      </c>
      <c r="I77" s="48">
        <f t="shared" si="6"/>
        <v>0.12687822513046232</v>
      </c>
      <c r="J77" s="51">
        <v>0.2231052424373301</v>
      </c>
    </row>
    <row r="78" spans="1:10" x14ac:dyDescent="0.25">
      <c r="A78" s="20" t="str">
        <f>VLOOKUP("&lt;Zeilentitel_52&gt;",[1]Uebersetzungen!$B$4:$E$77,[1]Uebersetzungen!$B$2+1,FALSE)</f>
        <v>Ostschweiz</v>
      </c>
      <c r="B78" s="21"/>
      <c r="C78" s="46">
        <v>123019</v>
      </c>
      <c r="D78" s="47">
        <v>119687</v>
      </c>
      <c r="E78" s="48">
        <f t="shared" si="5"/>
        <v>2.783928079072906E-2</v>
      </c>
      <c r="F78" s="49">
        <v>0.18310707100238877</v>
      </c>
      <c r="G78" s="50">
        <v>2039260</v>
      </c>
      <c r="H78" s="47">
        <v>1977246</v>
      </c>
      <c r="I78" s="48">
        <f t="shared" si="6"/>
        <v>3.1363826251260551E-2</v>
      </c>
      <c r="J78" s="51">
        <v>0.11843881241439336</v>
      </c>
    </row>
    <row r="79" spans="1:10" x14ac:dyDescent="0.25">
      <c r="A79" s="20" t="str">
        <f>VLOOKUP("&lt;Zeilentitel_53&gt;",[1]Uebersetzungen!$B$4:$E$77,[1]Uebersetzungen!$B$2+1,FALSE)</f>
        <v>Tessin</v>
      </c>
      <c r="B79" s="21"/>
      <c r="C79" s="46">
        <v>85710</v>
      </c>
      <c r="D79" s="47">
        <v>76870</v>
      </c>
      <c r="E79" s="48">
        <f t="shared" si="5"/>
        <v>0.11499934955119029</v>
      </c>
      <c r="F79" s="49">
        <v>0.20204983787543895</v>
      </c>
      <c r="G79" s="50">
        <v>2457836</v>
      </c>
      <c r="H79" s="47">
        <v>2555243</v>
      </c>
      <c r="I79" s="48">
        <f t="shared" si="6"/>
        <v>-3.8120444904848561E-2</v>
      </c>
      <c r="J79" s="51">
        <v>2.3784372792343689E-2</v>
      </c>
    </row>
    <row r="80" spans="1:10" x14ac:dyDescent="0.25">
      <c r="A80" s="20" t="str">
        <f>VLOOKUP("&lt;Zeilentitel_54&gt;",[1]Uebersetzungen!$B$4:$E$77,[1]Uebersetzungen!$B$2+1,FALSE)</f>
        <v>Waadt</v>
      </c>
      <c r="B80" s="21"/>
      <c r="C80" s="46">
        <v>213295</v>
      </c>
      <c r="D80" s="47">
        <v>197992</v>
      </c>
      <c r="E80" s="48">
        <f t="shared" si="5"/>
        <v>7.7291001656632607E-2</v>
      </c>
      <c r="F80" s="49">
        <v>0.27452304353437773</v>
      </c>
      <c r="G80" s="50">
        <v>2911115</v>
      </c>
      <c r="H80" s="47">
        <v>2680057</v>
      </c>
      <c r="I80" s="48">
        <f t="shared" si="6"/>
        <v>8.6213837989266739E-2</v>
      </c>
      <c r="J80" s="51">
        <v>0.19615079007343361</v>
      </c>
    </row>
    <row r="81" spans="1:10" x14ac:dyDescent="0.25">
      <c r="A81" s="20" t="str">
        <f>VLOOKUP("&lt;Zeilentitel_55&gt;",[1]Uebersetzungen!$B$4:$E$77,[1]Uebersetzungen!$B$2+1,FALSE)</f>
        <v>Wallis</v>
      </c>
      <c r="B81" s="21"/>
      <c r="C81" s="46">
        <v>383668</v>
      </c>
      <c r="D81" s="47">
        <v>380589</v>
      </c>
      <c r="E81" s="75">
        <f t="shared" si="5"/>
        <v>8.0900919364459423E-3</v>
      </c>
      <c r="F81" s="49">
        <v>0.12039285061409188</v>
      </c>
      <c r="G81" s="50">
        <v>4479096</v>
      </c>
      <c r="H81" s="47">
        <v>4189080</v>
      </c>
      <c r="I81" s="75">
        <f t="shared" si="6"/>
        <v>6.9231430290183082E-2</v>
      </c>
      <c r="J81" s="51">
        <v>0.15981462835923432</v>
      </c>
    </row>
    <row r="82" spans="1:10" x14ac:dyDescent="0.25">
      <c r="A82" s="20" t="str">
        <f>VLOOKUP("&lt;Zeilentitel_56&gt;",[1]Uebersetzungen!$B$4:$E$77,[1]Uebersetzungen!$B$2+1,FALSE)</f>
        <v>Zürich Region</v>
      </c>
      <c r="B82" s="52"/>
      <c r="C82" s="53">
        <v>560587</v>
      </c>
      <c r="D82" s="54">
        <v>534065</v>
      </c>
      <c r="E82" s="76">
        <f t="shared" si="5"/>
        <v>4.9660621834420882E-2</v>
      </c>
      <c r="F82" s="55">
        <v>0.46669202782331687</v>
      </c>
      <c r="G82" s="57">
        <v>6959267</v>
      </c>
      <c r="H82" s="54">
        <v>5935731</v>
      </c>
      <c r="I82" s="76">
        <f t="shared" si="6"/>
        <v>0.17243638567852893</v>
      </c>
      <c r="J82" s="77">
        <v>0.44055266579785557</v>
      </c>
    </row>
    <row r="83" spans="1:10" ht="15.75" thickBot="1" x14ac:dyDescent="0.3">
      <c r="A83" s="78" t="str">
        <f>VLOOKUP("&lt;Zeilentitel_57&gt;",[1]Uebersetzungen!$B$4:$E$77,[1]Uebersetzungen!$B$2+1,FALSE)</f>
        <v>Schweiz</v>
      </c>
      <c r="B83" s="79"/>
      <c r="C83" s="38">
        <v>3118419</v>
      </c>
      <c r="D83" s="60">
        <v>2979015</v>
      </c>
      <c r="E83" s="80">
        <f t="shared" si="5"/>
        <v>4.6795333356830948E-2</v>
      </c>
      <c r="F83" s="81">
        <v>0.26876992154782475</v>
      </c>
      <c r="G83" s="42">
        <v>41759083</v>
      </c>
      <c r="H83" s="60">
        <v>38241145</v>
      </c>
      <c r="I83" s="80">
        <f t="shared" si="6"/>
        <v>9.1993532097430553E-2</v>
      </c>
      <c r="J83" s="82">
        <v>0.22893449369270824</v>
      </c>
    </row>
    <row r="84" spans="1:10" x14ac:dyDescent="0.25">
      <c r="A84" s="83"/>
      <c r="B84" s="84"/>
      <c r="C84" s="85"/>
      <c r="D84" s="86"/>
      <c r="E84" s="87"/>
      <c r="F84" s="88"/>
    </row>
    <row r="85" spans="1:10" x14ac:dyDescent="0.25">
      <c r="A85" s="3" t="str">
        <f>VLOOKUP("&lt;Quelle_1&gt;",[1]Uebersetzungen!$B$4:$E$85,[1]Uebersetzungen!$B$2+1,FALSE)</f>
        <v>Quelle: BFS (HESTA)</v>
      </c>
    </row>
    <row r="86" spans="1:10" ht="12.75" customHeight="1" x14ac:dyDescent="0.25">
      <c r="A86" s="3" t="str">
        <f>VLOOKUP("&lt;T12Aktualisierung&gt;",[1]Uebersetzungen!$B$4:$E$303,[1]Uebersetzungen!$B$2+1,FALSE)</f>
        <v>Letztmals aktualisiert am: 22.02.2024</v>
      </c>
    </row>
    <row r="87" spans="1:10" x14ac:dyDescent="0.25">
      <c r="A87" s="3" t="str">
        <f>VLOOKUP("&lt;Legende_2&gt;",[1]Uebersetzungen!$B$4:$E$85,[1]Uebersetzungen!$B$2+1,FALSE)</f>
        <v>Kontakt: Luzius Stricker, 081 257 23 74, luzius.stricker@awt.gr.ch</v>
      </c>
    </row>
    <row r="88" spans="1:10" x14ac:dyDescent="0.25">
      <c r="A88" s="84" t="str">
        <f>VLOOKUP("&lt;T12Legende_3&gt;",[1]Uebersetzungen!$B$4:$E$303,[1]Uebersetzungen!$B$2+1,FALSE)</f>
        <v>Daten des Januar 2024 erscheinen am 7. März 2024.</v>
      </c>
    </row>
    <row r="90" spans="1:10" x14ac:dyDescent="0.25">
      <c r="A90" s="3" t="s">
        <v>2</v>
      </c>
    </row>
  </sheetData>
  <mergeCells count="1">
    <mergeCell ref="A7:D7"/>
  </mergeCells>
  <hyperlinks>
    <hyperlink ref="E63" r:id="rId1" xr:uid="{36F15E3D-C7D2-486F-9428-C643EC4C5E86}"/>
  </hyperlinks>
  <pageMargins left="0.7" right="0.7" top="0.78740157499999996" bottom="0.78740157499999996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6</xdr:col>
                    <xdr:colOff>219075</xdr:colOff>
                    <xdr:row>1</xdr:row>
                    <xdr:rowOff>114300</xdr:rowOff>
                  </from>
                  <to>
                    <xdr:col>7</xdr:col>
                    <xdr:colOff>419100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6</xdr:col>
                    <xdr:colOff>219075</xdr:colOff>
                    <xdr:row>2</xdr:row>
                    <xdr:rowOff>104775</xdr:rowOff>
                  </from>
                  <to>
                    <xdr:col>7</xdr:col>
                    <xdr:colOff>800100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6</xdr:col>
                    <xdr:colOff>219075</xdr:colOff>
                    <xdr:row>3</xdr:row>
                    <xdr:rowOff>66675</xdr:rowOff>
                  </from>
                  <to>
                    <xdr:col>7</xdr:col>
                    <xdr:colOff>419100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Dobson</dc:creator>
  <cp:lastModifiedBy>Barbara Dobson</cp:lastModifiedBy>
  <cp:lastPrinted>2024-03-13T07:12:52Z</cp:lastPrinted>
  <dcterms:created xsi:type="dcterms:W3CDTF">2024-03-13T07:12:16Z</dcterms:created>
  <dcterms:modified xsi:type="dcterms:W3CDTF">2024-03-13T07:13:25Z</dcterms:modified>
</cp:coreProperties>
</file>